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7ff97e18c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e84cf9e10b9443b8"/>
    <x:sheet xmlns:r="http://schemas.openxmlformats.org/officeDocument/2006/relationships" name="Inputs" sheetId="2" r:id="R4e388aa25c73408c"/>
    <x:sheet xmlns:r="http://schemas.openxmlformats.org/officeDocument/2006/relationships" name="Cash13W" sheetId="3" r:id="Rcc4a222eae8f455b"/>
    <x:sheet xmlns:r="http://schemas.openxmlformats.org/officeDocument/2006/relationships" name="Debt" sheetId="4" r:id="R11e399fa6c91403c"/>
    <x:sheet xmlns:r="http://schemas.openxmlformats.org/officeDocument/2006/relationships" name="WorkingCapital" sheetId="5" r:id="R699fa72f08754368"/>
    <x:sheet xmlns:r="http://schemas.openxmlformats.org/officeDocument/2006/relationships" name="Governance" sheetId="6" r:id="R68b6046bd62e4e3e"/>
    <x:sheet xmlns:r="http://schemas.openxmlformats.org/officeDocument/2006/relationships" name="Stress" sheetId="7" r:id="Rb645e61d9ae9456a"/>
    <x:sheet xmlns:r="http://schemas.openxmlformats.org/officeDocument/2006/relationships" name="Signals" sheetId="8" r:id="Rc282d40244dd4e15"/>
    <x:sheet xmlns:r="http://schemas.openxmlformats.org/officeDocument/2006/relationships" name="Decisions" sheetId="9" r:id="Rb6674c13faf742a8"/>
    <x:sheet xmlns:r="http://schemas.openxmlformats.org/officeDocument/2006/relationships" name="Dashboard" sheetId="10" r:id="Rf5bdca67b3184de6"/>
    <x:sheet xmlns:r="http://schemas.openxmlformats.org/officeDocument/2006/relationships" name="Sources" sheetId="11" r:id="R6d5e89f5e38040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-"/>
    <x:numFmt numFmtId="201" formatCode="#,##0 &quot;₽&quot;;[Red](#,##0 &quot;₽&quot;);-"/>
    <x:numFmt numFmtId="202" formatCode="0.0x;[Red](0.0x);-"/>
    <x:numFmt numFmtId="203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3"/>
      <x:color rgb="FF102238"/>
      <x:name val="Carlito"/>
    </x:font>
    <x:font>
      <x:b/>
      <x:sz val="11"/>
      <x:color rgb="FF2B313A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000000"/>
      <x:name val="Carlito"/>
    </x:font>
    <x:font>
      <x:sz val="11"/>
      <x:color rgb="FF000000"/>
      <x:name val="Carlito"/>
    </x:font>
    <x:font>
      <x:b/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3EBDD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1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1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203" fontId="5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ont>
        <x:b/>
        <x:color rgb="FFA64B42"/>
      </x:font>
      <x:fill>
        <x:patternFill patternType="solid">
          <x:bgColor rgb="FFFCE8E6"/>
        </x:patternFill>
      </x:fill>
    </x:dxf>
    <x:dxf>
      <x:font>
        <x:b/>
        <x:color rgb="FFA64B42"/>
      </x:font>
      <x:fill>
        <x:patternFill patternType="solid">
          <x:bgColor rgb="FFF4CCCC"/>
        </x:patternFill>
      </x:fill>
    </x:dxf>
    <x:dxf>
      <x:font>
        <x:b/>
        <x:color rgb="FFB67A22"/>
      </x:font>
      <x:fill>
        <x:patternFill patternType="solid">
          <x:bgColor rgb="FFFCE5CD"/>
        </x:patternFill>
      </x:fill>
    </x:dxf>
    <x:dxf>
      <x:font>
        <x:b/>
        <x:color rgb="FFA64B42"/>
      </x:font>
      <x:fill>
        <x:patternFill patternType="solid">
          <x:bgColor rgb="FFF4CCCC"/>
        </x:patternFill>
      </x:fill>
    </x:dxf>
    <x:dxf>
      <x:font>
        <x:b/>
        <x:color rgb="FFB67A22"/>
      </x:font>
      <x:fill>
        <x:patternFill patternType="solid">
          <x:bgColor rgb="FFFCE5CD"/>
        </x:patternFill>
      </x:fill>
    </x:dxf>
    <x:dxf>
      <x:font>
        <x:b/>
        <x:color rgb="FFA64B42"/>
      </x:font>
      <x:fill>
        <x:patternFill patternType="solid">
          <x:bgColor rgb="FFF4CCCC"/>
        </x:patternFill>
      </x:fill>
    </x:dxf>
    <x:dxf>
      <x:font>
        <x:b/>
        <x:color rgb="FFB67A22"/>
      </x:font>
      <x:fill>
        <x:patternFill patternType="solid">
          <x:bgColor rgb="FFFCE5CD"/>
        </x:patternFill>
      </x:fill>
    </x:dxf>
    <x:dxf>
      <x:font>
        <x:b/>
        <x:color rgb="FFA64B42"/>
      </x:font>
      <x:fill>
        <x:patternFill patternType="solid">
          <x:bgColor rgb="FFF4CCCC"/>
        </x:patternFill>
      </x:fill>
    </x:dxf>
    <x:dxf>
      <x:font>
        <x:b/>
        <x:color rgb="FFA64B42"/>
      </x:font>
      <x:fill>
        <x:patternFill patternType="solid">
          <x:bgColor rgb="FFFCE8E6"/>
        </x:patternFill>
      </x:fill>
    </x:dxf>
    <x:dxf>
      <x:font>
        <x:b/>
        <x:color rgb="FFA64B42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8ea15039141b1" /><Relationship Type="http://schemas.openxmlformats.org/officeDocument/2006/relationships/theme" Target="/xl/theme/theme1.xml" Id="Rf821ee2b926b4d0a" /><Relationship Type="http://schemas.openxmlformats.org/officeDocument/2006/relationships/sharedStrings" Target="/xl/sharedStrings.xml" Id="R4717bd9fed8d4de3" /><Relationship Type="http://schemas.openxmlformats.org/officeDocument/2006/relationships/worksheet" Target="/xl/worksheets/sheet1.xml" Id="Re84cf9e10b9443b8" /><Relationship Type="http://schemas.openxmlformats.org/officeDocument/2006/relationships/worksheet" Target="/xl/worksheets/sheet2.xml" Id="R4e388aa25c73408c" /><Relationship Type="http://schemas.openxmlformats.org/officeDocument/2006/relationships/worksheet" Target="/xl/worksheets/sheet3.xml" Id="Rcc4a222eae8f455b" /><Relationship Type="http://schemas.openxmlformats.org/officeDocument/2006/relationships/worksheet" Target="/xl/worksheets/sheet4.xml" Id="R11e399fa6c91403c" /><Relationship Type="http://schemas.openxmlformats.org/officeDocument/2006/relationships/worksheet" Target="/xl/worksheets/sheet5.xml" Id="R699fa72f08754368" /><Relationship Type="http://schemas.openxmlformats.org/officeDocument/2006/relationships/worksheet" Target="/xl/worksheets/sheet6.xml" Id="R68b6046bd62e4e3e" /><Relationship Type="http://schemas.openxmlformats.org/officeDocument/2006/relationships/worksheet" Target="/xl/worksheets/sheet7.xml" Id="Rb645e61d9ae9456a" /><Relationship Type="http://schemas.openxmlformats.org/officeDocument/2006/relationships/worksheet" Target="/xl/worksheets/sheet8.xml" Id="Rc282d40244dd4e15" /><Relationship Type="http://schemas.openxmlformats.org/officeDocument/2006/relationships/worksheet" Target="/xl/worksheets/sheet9.xml" Id="Rb6674c13faf742a8" /><Relationship Type="http://schemas.openxmlformats.org/officeDocument/2006/relationships/worksheet" Target="/xl/worksheets/sheet10.xml" Id="Rf5bdca67b3184de6" /><Relationship Type="http://schemas.openxmlformats.org/officeDocument/2006/relationships/worksheet" Target="/xl/worksheets/sheet11.xml" Id="R6d5e89f5e38040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4" t="str">
        <x:v>ФИНАНСОВЫЙ СТРЕСС-ТЕСТ: РАННИЕ СИГНАЛЫ КРИЗИСА</x:v>
      </x:c>
      <x:c r="B1" s="4"/>
      <x:c r="C1" s="4"/>
      <x:c r="D1" s="4"/>
      <x:c r="E1" s="4"/>
      <x:c r="F1" s="4"/>
      <x:c r="G1" s="4"/>
      <x:c r="H1" s="4"/>
    </x:row>
    <x:row r="3" ht="30" customHeight="1">
      <x:c r="A3" s="10" t="str">
        <x:v>Как пользоваться</x:v>
      </x:c>
      <x:c r="B3" s="8" t="str"/>
      <x:c r="C3" s="8" t="str"/>
      <x:c r="D3" s="8" t="str"/>
      <x:c r="E3" s="8" t="str"/>
      <x:c r="F3" s="8" t="str"/>
      <x:c r="G3" s="8" t="str"/>
      <x:c r="H3" s="8" t="str"/>
    </x:row>
    <x:row r="4" ht="30" customHeight="1">
      <x:c r="A4" s="8" t="str">
        <x:v>1. Сначала откройте Inputs и замените синие сценарные вводы на реальные данные бизнеса.</x:v>
      </x:c>
      <x:c r="B4" s="8" t="str"/>
      <x:c r="C4" s="8" t="str"/>
      <x:c r="D4" s="8" t="str"/>
      <x:c r="E4" s="8" t="str"/>
      <x:c r="F4" s="8" t="str"/>
      <x:c r="G4" s="8" t="str"/>
      <x:c r="H4" s="8" t="str"/>
    </x:row>
    <x:row r="5" ht="30" customHeight="1">
      <x:c r="A5" s="8" t="str">
        <x:v>2. Затем проверьте Cash13W — это 13-недельный прогноз ликвидности.</x:v>
      </x:c>
      <x:c r="B5" s="8" t="str"/>
      <x:c r="C5" s="8" t="str"/>
      <x:c r="D5" s="8" t="str"/>
      <x:c r="E5" s="8" t="str"/>
      <x:c r="F5" s="8" t="str"/>
      <x:c r="G5" s="8" t="str"/>
      <x:c r="H5" s="8" t="str"/>
    </x:row>
    <x:row r="6" ht="30" customHeight="1">
      <x:c r="A6" s="8" t="str">
        <x:v>3. Debt и WorkingCapital показывают, где деньги уходят в долг, запасы и дебиторку.</x:v>
      </x:c>
      <x:c r="B6" s="8" t="str"/>
      <x:c r="C6" s="8" t="str"/>
      <x:c r="D6" s="8" t="str"/>
      <x:c r="E6" s="8" t="str"/>
      <x:c r="F6" s="8" t="str"/>
      <x:c r="G6" s="8" t="str"/>
      <x:c r="H6" s="8" t="str"/>
    </x:row>
    <x:row r="7" ht="30" customHeight="1">
      <x:c r="A7" s="8" t="str">
        <x:v>4. Signals собирает 18 ранних сигналов. Красный сигнал не означает банкротство; опасна их концентрация.</x:v>
      </x:c>
      <x:c r="B7" s="8" t="str"/>
      <x:c r="C7" s="8" t="str"/>
      <x:c r="D7" s="8" t="str"/>
      <x:c r="E7" s="8" t="str"/>
      <x:c r="F7" s="8" t="str"/>
      <x:c r="G7" s="8" t="str"/>
      <x:c r="H7" s="8" t="str"/>
    </x:row>
    <x:row r="8" ht="30" customHeight="1">
      <x:c r="A8" s="8" t="str">
        <x:v>5. Stress сравнивает Base / Weak / Stress. Меняйте шоки только в Inputs.</x:v>
      </x:c>
      <x:c r="B8" s="8" t="str"/>
      <x:c r="C8" s="8" t="str"/>
      <x:c r="D8" s="8" t="str"/>
      <x:c r="E8" s="8" t="str"/>
      <x:c r="F8" s="8" t="str"/>
      <x:c r="G8" s="8" t="str"/>
      <x:c r="H8" s="8" t="str"/>
    </x:row>
    <x:row r="9" ht="30" customHeight="1">
      <x:c r="A9" s="8" t="str">
        <x:v>6. Decisions переводит проблемы в решения: защищать / перестраивать / сокращать / выходить.</x:v>
      </x:c>
      <x:c r="B9" s="8" t="str"/>
      <x:c r="C9" s="8" t="str"/>
      <x:c r="D9" s="8" t="str"/>
      <x:c r="E9" s="8" t="str"/>
      <x:c r="F9" s="8" t="str"/>
      <x:c r="G9" s="8" t="str"/>
      <x:c r="H9" s="8" t="str"/>
    </x:row>
    <x:row r="10" ht="30" customHeight="1">
      <x:c r="A10" s="8" t="str">
        <x:v>7. Dashboard — итоговая управленческая сводка. Смотрите её после заполнения Inputs.</x:v>
      </x:c>
      <x:c r="B10" s="8" t="str"/>
      <x:c r="C10" s="8" t="str"/>
      <x:c r="D10" s="8" t="str"/>
      <x:c r="E10" s="8" t="str"/>
      <x:c r="F10" s="8" t="str"/>
      <x:c r="G10" s="8" t="str"/>
      <x:c r="H10" s="8" t="str"/>
    </x:row>
    <x:row r="11" ht="30" customHeight="1">
      <x:c r="A11" s="8" t="str">
        <x:v>Важно: модель не является бухгалтерской отчётностью или юридической консультацией. Она предназначена для ранней диагностики и управленческих решений.</x:v>
      </x:c>
      <x:c r="B11" s="8" t="str"/>
      <x:c r="C11" s="8" t="str"/>
      <x:c r="D11" s="8" t="str"/>
      <x:c r="E11" s="8" t="str"/>
      <x:c r="F11" s="8" t="str"/>
      <x:c r="G11" s="8" t="str"/>
      <x:c r="H11" s="8" t="str"/>
    </x:row>
    <x:row r="12" ht="30" customHeight="1">
      <x:c r="A12" s="8" t="str">
        <x:v>Все денежные вводы — в рублях. Все проценты вводятся как доли: 10% = 0,10.</x:v>
      </x:c>
      <x:c r="B12" s="8" t="str"/>
      <x:c r="C12" s="8" t="str"/>
      <x:c r="D12" s="8" t="str"/>
      <x:c r="E12" s="8" t="str"/>
      <x:c r="F12" s="8" t="str"/>
      <x:c r="G12" s="8" t="str"/>
      <x:c r="H12" s="8" t="str"/>
    </x:row>
  </x:sheetData>
  <x:mergeCells>
    <x:mergeCell ref="A1:H1"/>
    <x:mergeCell ref="A3:H3"/>
    <x:mergeCell ref="A4:H4"/>
    <x:mergeCell ref="A5:H5"/>
    <x:mergeCell ref="A6:H6"/>
    <x:mergeCell ref="A7:H7"/>
    <x:mergeCell ref="A8:H8"/>
    <x:mergeCell ref="A9:H9"/>
    <x:mergeCell ref="A10:H10"/>
    <x:mergeCell ref="A11:H11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7" hidden="0" customWidth="1"/>
    <x:col min="3" max="3" width="12" hidden="0" customWidth="1"/>
    <x:col min="4" max="4" width="46" hidden="0" customWidth="1"/>
  </x:cols>
  <x:sheetData>
    <x:row r="1" ht="28" customHeight="1">
      <x:c r="A1" s="4" t="str">
        <x:v>INPUTS — СЦЕНАРНЫЕ ВВОДЫ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Показатель</x:v>
      </x:c>
      <x:c r="B3" s="15" t="str">
        <x:v>Значение</x:v>
      </x:c>
      <x:c r="C3" s="15" t="str">
        <x:v>Ед.</x:v>
      </x:c>
      <x:c r="D3" s="15" t="str">
        <x:v>Комментарий</x:v>
      </x:c>
    </x:row>
    <x:row r="4">
      <x:c r="A4" s="8" t="str">
        <x:v>Начальный остаток cash</x:v>
      </x:c>
      <x:c r="B4" s="28" t="n">
        <x:v>2500000</x:v>
      </x:c>
      <x:c r="C4" s="8" t="str">
        <x:v>₽</x:v>
      </x:c>
      <x:c r="D4" s="8" t="str">
        <x:v>Доступные деньги на начало недели 1</x:v>
      </x:c>
    </x:row>
    <x:row r="5">
      <x:c r="A5" s="8" t="str">
        <x:v>Выручка в месяц</x:v>
      </x:c>
      <x:c r="B5" s="28" t="n">
        <x:v>12000000</x:v>
      </x:c>
      <x:c r="C5" s="8" t="str">
        <x:v>₽/мес.</x:v>
      </x:c>
      <x:c r="D5" s="8" t="str">
        <x:v>Сценарный бизнес среднего масштаба</x:v>
      </x:c>
    </x:row>
    <x:row r="6">
      <x:c r="A6" s="8" t="str">
        <x:v>Валовая маржа</x:v>
      </x:c>
      <x:c r="B6" s="29" t="n">
        <x:v>0.28</x:v>
      </x:c>
      <x:c r="C6" s="8" t="str">
        <x:v>%</x:v>
      </x:c>
      <x:c r="D6" s="8" t="str">
        <x:v>После себестоимости товара/прямых затрат</x:v>
      </x:c>
    </x:row>
    <x:row r="7">
      <x:c r="A7" s="8" t="str">
        <x:v>Фиксированные OPEX в месяц</x:v>
      </x:c>
      <x:c r="B7" s="28" t="n">
        <x:v>2600000</x:v>
      </x:c>
      <x:c r="C7" s="8" t="str">
        <x:v>₽/мес.</x:v>
      </x:c>
      <x:c r="D7" s="8" t="str">
        <x:v>ФОТ, аренда, IT, офис, фиксированная логистика</x:v>
      </x:c>
    </x:row>
    <x:row r="8">
      <x:c r="A8" s="8" t="str">
        <x:v>ФОТ в месяц</x:v>
      </x:c>
      <x:c r="B8" s="28" t="n">
        <x:v>1400000</x:v>
      </x:c>
      <x:c r="C8" s="8" t="str">
        <x:v>₽/мес.</x:v>
      </x:c>
      <x:c r="D8" s="8" t="str">
        <x:v>Включён в OPEX, нужен для стресс-теста</x:v>
      </x:c>
    </x:row>
    <x:row r="9">
      <x:c r="A9" s="8" t="str">
        <x:v>Аренда в месяц</x:v>
      </x:c>
      <x:c r="B9" s="28" t="n">
        <x:v>450000</x:v>
      </x:c>
      <x:c r="C9" s="8" t="str">
        <x:v>₽/мес.</x:v>
      </x:c>
      <x:c r="D9" s="8" t="str">
        <x:v>Включена в OPEX</x:v>
      </x:c>
    </x:row>
    <x:row r="10">
      <x:c r="A10" s="8" t="str">
        <x:v>Налоги в месяц</x:v>
      </x:c>
      <x:c r="B10" s="28" t="n">
        <x:v>300000</x:v>
      </x:c>
      <x:c r="C10" s="8" t="str">
        <x:v>₽/мес.</x:v>
      </x:c>
      <x:c r="D10" s="8" t="str">
        <x:v>Сценарный денежный платёж</x:v>
      </x:c>
    </x:row>
    <x:row r="11">
      <x:c r="A11" s="8" t="str">
        <x:v>Проценты по долгу в месяц</x:v>
      </x:c>
      <x:c r="B11" s="28" t="n">
        <x:v>220000</x:v>
      </x:c>
      <x:c r="C11" s="8" t="str">
        <x:v>₽/мес.</x:v>
      </x:c>
      <x:c r="D11" s="8" t="str">
        <x:v>Текущая процентная нагрузка</x:v>
      </x:c>
    </x:row>
    <x:row r="12">
      <x:c r="A12" s="8" t="str">
        <x:v>Погашение principal в месяц</x:v>
      </x:c>
      <x:c r="B12" s="28" t="n">
        <x:v>500000</x:v>
      </x:c>
      <x:c r="C12" s="8" t="str">
        <x:v>₽/мес.</x:v>
      </x:c>
      <x:c r="D12" s="8" t="str">
        <x:v>Обязательные выплаты тела долга</x:v>
      </x:c>
    </x:row>
    <x:row r="13">
      <x:c r="A13" s="8" t="str">
        <x:v>Остаток долга</x:v>
      </x:c>
      <x:c r="B13" s="28" t="n">
        <x:v>18000000</x:v>
      </x:c>
      <x:c r="C13" s="8" t="str">
        <x:v>₽</x:v>
      </x:c>
      <x:c r="D13" s="8" t="str">
        <x:v>Банки / займы</x:v>
      </x:c>
    </x:row>
    <x:row r="14">
      <x:c r="A14" s="8" t="str">
        <x:v>Дебиторская задолженность</x:v>
      </x:c>
      <x:c r="B14" s="28" t="n">
        <x:v>4200000</x:v>
      </x:c>
      <x:c r="C14" s="8" t="str">
        <x:v>₽</x:v>
      </x:c>
      <x:c r="D14" s="8" t="str">
        <x:v>Текущая AR</x:v>
      </x:c>
    </x:row>
    <x:row r="15">
      <x:c r="A15" s="8" t="str">
        <x:v>Кредиторская задолженность</x:v>
      </x:c>
      <x:c r="B15" s="28" t="n">
        <x:v>5800000</x:v>
      </x:c>
      <x:c r="C15" s="8" t="str">
        <x:v>₽</x:v>
      </x:c>
      <x:c r="D15" s="8" t="str">
        <x:v>Текущая AP</x:v>
      </x:c>
    </x:row>
    <x:row r="16">
      <x:c r="A16" s="8" t="str">
        <x:v>Запасы</x:v>
      </x:c>
      <x:c r="B16" s="28" t="n">
        <x:v>14500000</x:v>
      </x:c>
      <x:c r="C16" s="8" t="str">
        <x:v>₽</x:v>
      </x:c>
      <x:c r="D16" s="8" t="str">
        <x:v>Товар/сырьё по балансовой стоимости</x:v>
      </x:c>
    </x:row>
    <x:row r="17">
      <x:c r="A17" s="8" t="str">
        <x:v>Минимальный cash</x:v>
      </x:c>
      <x:c r="B17" s="28" t="n">
        <x:v>1200000</x:v>
      </x:c>
      <x:c r="C17" s="8" t="str">
        <x:v>₽</x:v>
      </x:c>
      <x:c r="D17" s="8" t="str">
        <x:v>Неснижаемый остаток для работы</x:v>
      </x:c>
    </x:row>
    <x:row r="18">
      <x:c r="A18" s="8" t="str">
        <x:v>CAPEX обязательства 13 недель</x:v>
      </x:c>
      <x:c r="B18" s="28" t="n">
        <x:v>1800000</x:v>
      </x:c>
      <x:c r="C18" s="8" t="str">
        <x:v>₽</x:v>
      </x:c>
      <x:c r="D18" s="8" t="str">
        <x:v>Уже принятые обязательства</x:v>
      </x:c>
    </x:row>
    <x:row r="19">
      <x:c r="A19" s="8" t="str">
        <x:v>Доступное новое финансирование</x:v>
      </x:c>
      <x:c r="B19" s="28" t="n">
        <x:v>0</x:v>
      </x:c>
      <x:c r="C19" s="8" t="str">
        <x:v>₽</x:v>
      </x:c>
      <x:c r="D19" s="8" t="str">
        <x:v>Если нет подтверждённого лимита — 0</x:v>
      </x:c>
    </x:row>
    <x:row r="20">
      <x:c r="A20" s="8" t="str">
        <x:v>Revenue shock Weak</x:v>
      </x:c>
      <x:c r="B20" s="29" t="n">
        <x:v>-0.15</x:v>
      </x:c>
      <x:c r="C20" s="8" t="str">
        <x:v>%</x:v>
      </x:c>
      <x:c r="D20" s="8" t="str">
        <x:v>Снижение выручки от Base</x:v>
      </x:c>
    </x:row>
    <x:row r="21">
      <x:c r="A21" s="8" t="str">
        <x:v>Revenue shock Stress</x:v>
      </x:c>
      <x:c r="B21" s="29" t="n">
        <x:v>-0.3</x:v>
      </x:c>
      <x:c r="C21" s="8" t="str">
        <x:v>%</x:v>
      </x:c>
      <x:c r="D21" s="8" t="str">
        <x:v>Снижение выручки от Base</x:v>
      </x:c>
    </x:row>
    <x:row r="22">
      <x:c r="A22" s="8" t="str">
        <x:v>Margin shock Stress</x:v>
      </x:c>
      <x:c r="B22" s="29" t="n">
        <x:v>-0.05</x:v>
      </x:c>
      <x:c r="C22" s="8" t="str">
        <x:v>п.п.</x:v>
      </x:c>
      <x:c r="D22" s="8" t="str">
        <x:v>Снижение валовой маржи</x:v>
      </x:c>
    </x:row>
    <x:row r="23">
      <x:c r="A23" s="8" t="str">
        <x:v>Cost cut Stress</x:v>
      </x:c>
      <x:c r="B23" s="29" t="n">
        <x:v>0.12</x:v>
      </x:c>
      <x:c r="C23" s="8" t="str">
        <x:v>%</x:v>
      </x:c>
      <x:c r="D23" s="8" t="str">
        <x:v>Реалистичное снижение фиксированных расходов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8" customHeight="1">
      <x:c r="A1" s="4" t="str">
        <x:v>13-НЕДЕЛЬНЫЙ CASH-FLOW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Неделя</x:v>
      </x:c>
      <x:c r="B3" s="15" t="str">
        <x:v>Opening cash</x:v>
      </x:c>
      <x:c r="C3" s="15" t="str">
        <x:v>Входящие</x:v>
      </x:c>
      <x:c r="D3" s="15" t="str">
        <x:v>Операционные выплаты</x:v>
      </x:c>
      <x:c r="E3" s="15" t="str">
        <x:v>Долг</x:v>
      </x:c>
      <x:c r="F3" s="15" t="str">
        <x:v>Налоги</x:v>
      </x:c>
      <x:c r="G3" s="15" t="str">
        <x:v>CAPEX</x:v>
      </x:c>
      <x:c r="H3" s="15" t="str">
        <x:v>Ending cash</x:v>
      </x:c>
    </x:row>
    <x:row r="4">
      <x:c r="A4" t="str">
        <x:v>Неделя 1</x:v>
      </x:c>
      <x:c r="B4" s="34" t="n">
        <x:f>Inputs!$B$4</x:f>
        <x:v>2500000</x:v>
      </x:c>
      <x:c r="C4" s="34" t="n">
        <x:f>Inputs!$B$5/4.33</x:f>
        <x:v>2771362.586605081</x:v>
      </x:c>
      <x:c r="D4" s="34" t="n">
        <x:f>Inputs!$B$7/4.33 + C4*(1-Inputs!$B$6)</x:f>
        <x:v>2595842.9561200924</x:v>
      </x:c>
      <x:c r="E4" s="34" t="n">
        <x:f>(Inputs!$B$11+Inputs!$B$12)/4.33</x:f>
        <x:v>166281.75519630485</x:v>
      </x:c>
      <x:c r="F4" s="34" t="n">
        <x:f>Inputs!$B$10/4.33</x:f>
        <x:v>69284.06466512702</x:v>
      </x:c>
      <x:c r="G4" s="34" t="n">
        <x:f>Inputs!$B$18/13</x:f>
        <x:v>138461.53846153847</x:v>
      </x:c>
      <x:c r="H4" s="34" t="n">
        <x:f>B4+C4-D4-E4-F4-G4</x:f>
        <x:v>2301492.2721620183</x:v>
      </x:c>
    </x:row>
    <x:row r="5">
      <x:c r="A5" t="str">
        <x:v>Неделя 2</x:v>
      </x:c>
      <x:c r="B5" s="34" t="n">
        <x:f>H4</x:f>
        <x:v>2301492.2721620183</x:v>
      </x:c>
      <x:c r="C5" s="34" t="n">
        <x:f>Inputs!$B$5/4.33</x:f>
        <x:v>2771362.586605081</x:v>
      </x:c>
      <x:c r="D5" s="34" t="n">
        <x:f>Inputs!$B$7/4.33 + C5*(1-Inputs!$B$6)</x:f>
        <x:v>2595842.9561200924</x:v>
      </x:c>
      <x:c r="E5" s="34" t="n">
        <x:f>(Inputs!$B$11+Inputs!$B$12)/4.33</x:f>
        <x:v>166281.75519630485</x:v>
      </x:c>
      <x:c r="F5" s="34" t="n">
        <x:f>Inputs!$B$10/4.33</x:f>
        <x:v>69284.06466512702</x:v>
      </x:c>
      <x:c r="G5" s="34" t="n">
        <x:f>Inputs!$B$18/13</x:f>
        <x:v>138461.53846153847</x:v>
      </x:c>
      <x:c r="H5" s="34" t="n">
        <x:f>B5+C5-D5-E5-F5-G5</x:f>
        <x:v>2102984.5443240367</x:v>
      </x:c>
    </x:row>
    <x:row r="6">
      <x:c r="A6" t="str">
        <x:v>Неделя 3</x:v>
      </x:c>
      <x:c r="B6" s="34" t="n">
        <x:f>H5</x:f>
        <x:v>2102984.5443240367</x:v>
      </x:c>
      <x:c r="C6" s="34" t="n">
        <x:f>Inputs!$B$5/4.33</x:f>
        <x:v>2771362.586605081</x:v>
      </x:c>
      <x:c r="D6" s="34" t="n">
        <x:f>Inputs!$B$7/4.33 + C6*(1-Inputs!$B$6)</x:f>
        <x:v>2595842.9561200924</x:v>
      </x:c>
      <x:c r="E6" s="34" t="n">
        <x:f>(Inputs!$B$11+Inputs!$B$12)/4.33</x:f>
        <x:v>166281.75519630485</x:v>
      </x:c>
      <x:c r="F6" s="34" t="n">
        <x:f>Inputs!$B$10/4.33</x:f>
        <x:v>69284.06466512702</x:v>
      </x:c>
      <x:c r="G6" s="34" t="n">
        <x:f>Inputs!$B$18/13</x:f>
        <x:v>138461.53846153847</x:v>
      </x:c>
      <x:c r="H6" s="34" t="n">
        <x:f>B6+C6-D6-E6-F6-G6</x:f>
        <x:v>1904476.816486055</x:v>
      </x:c>
    </x:row>
    <x:row r="7">
      <x:c r="A7" t="str">
        <x:v>Неделя 4</x:v>
      </x:c>
      <x:c r="B7" s="34" t="n">
        <x:f>H6</x:f>
        <x:v>1904476.816486055</x:v>
      </x:c>
      <x:c r="C7" s="34" t="n">
        <x:f>Inputs!$B$5/4.33</x:f>
        <x:v>2771362.586605081</x:v>
      </x:c>
      <x:c r="D7" s="34" t="n">
        <x:f>Inputs!$B$7/4.33 + C7*(1-Inputs!$B$6)</x:f>
        <x:v>2595842.9561200924</x:v>
      </x:c>
      <x:c r="E7" s="34" t="n">
        <x:f>(Inputs!$B$11+Inputs!$B$12)/4.33</x:f>
        <x:v>166281.75519630485</x:v>
      </x:c>
      <x:c r="F7" s="34" t="n">
        <x:f>Inputs!$B$10/4.33</x:f>
        <x:v>69284.06466512702</x:v>
      </x:c>
      <x:c r="G7" s="34" t="n">
        <x:f>Inputs!$B$18/13</x:f>
        <x:v>138461.53846153847</x:v>
      </x:c>
      <x:c r="H7" s="34" t="n">
        <x:f>B7+C7-D7-E7-F7-G7</x:f>
        <x:v>1705969.0886480736</x:v>
      </x:c>
    </x:row>
    <x:row r="8">
      <x:c r="A8" t="str">
        <x:v>Неделя 5</x:v>
      </x:c>
      <x:c r="B8" s="34" t="n">
        <x:f>H7</x:f>
        <x:v>1705969.0886480736</x:v>
      </x:c>
      <x:c r="C8" s="34" t="n">
        <x:f>Inputs!$B$5/4.33</x:f>
        <x:v>2771362.586605081</x:v>
      </x:c>
      <x:c r="D8" s="34" t="n">
        <x:f>Inputs!$B$7/4.33 + C8*(1-Inputs!$B$6)</x:f>
        <x:v>2595842.9561200924</x:v>
      </x:c>
      <x:c r="E8" s="34" t="n">
        <x:f>(Inputs!$B$11+Inputs!$B$12)/4.33</x:f>
        <x:v>166281.75519630485</x:v>
      </x:c>
      <x:c r="F8" s="34" t="n">
        <x:f>Inputs!$B$10/4.33</x:f>
        <x:v>69284.06466512702</x:v>
      </x:c>
      <x:c r="G8" s="34" t="n">
        <x:f>Inputs!$B$18/13</x:f>
        <x:v>138461.53846153847</x:v>
      </x:c>
      <x:c r="H8" s="34" t="n">
        <x:f>B8+C8-D8-E8-F8-G8</x:f>
        <x:v>1507461.360810092</x:v>
      </x:c>
    </x:row>
    <x:row r="9">
      <x:c r="A9" t="str">
        <x:v>Неделя 6</x:v>
      </x:c>
      <x:c r="B9" s="34" t="n">
        <x:f>H8</x:f>
        <x:v>1507461.360810092</x:v>
      </x:c>
      <x:c r="C9" s="34" t="n">
        <x:f>Inputs!$B$5/4.33</x:f>
        <x:v>2771362.586605081</x:v>
      </x:c>
      <x:c r="D9" s="34" t="n">
        <x:f>Inputs!$B$7/4.33 + C9*(1-Inputs!$B$6)</x:f>
        <x:v>2595842.9561200924</x:v>
      </x:c>
      <x:c r="E9" s="34" t="n">
        <x:f>(Inputs!$B$11+Inputs!$B$12)/4.33</x:f>
        <x:v>166281.75519630485</x:v>
      </x:c>
      <x:c r="F9" s="34" t="n">
        <x:f>Inputs!$B$10/4.33</x:f>
        <x:v>69284.06466512702</x:v>
      </x:c>
      <x:c r="G9" s="34" t="n">
        <x:f>Inputs!$B$18/13</x:f>
        <x:v>138461.53846153847</x:v>
      </x:c>
      <x:c r="H9" s="34" t="n">
        <x:f>B9+C9-D9-E9-F9-G9</x:f>
        <x:v>1308953.6329721103</x:v>
      </x:c>
    </x:row>
    <x:row r="10">
      <x:c r="A10" t="str">
        <x:v>Неделя 7</x:v>
      </x:c>
      <x:c r="B10" s="34" t="n">
        <x:f>H9</x:f>
        <x:v>1308953.6329721103</x:v>
      </x:c>
      <x:c r="C10" s="34" t="n">
        <x:f>Inputs!$B$5/4.33</x:f>
        <x:v>2771362.586605081</x:v>
      </x:c>
      <x:c r="D10" s="34" t="n">
        <x:f>Inputs!$B$7/4.33 + C10*(1-Inputs!$B$6)</x:f>
        <x:v>2595842.9561200924</x:v>
      </x:c>
      <x:c r="E10" s="34" t="n">
        <x:f>(Inputs!$B$11+Inputs!$B$12)/4.33</x:f>
        <x:v>166281.75519630485</x:v>
      </x:c>
      <x:c r="F10" s="34" t="n">
        <x:f>Inputs!$B$10/4.33</x:f>
        <x:v>69284.06466512702</x:v>
      </x:c>
      <x:c r="G10" s="34" t="n">
        <x:f>Inputs!$B$18/13</x:f>
        <x:v>138461.53846153847</x:v>
      </x:c>
      <x:c r="H10" s="34" t="n">
        <x:f>B10+C10-D10-E10-F10-G10</x:f>
        <x:v>1110445.9051341286</x:v>
      </x:c>
    </x:row>
    <x:row r="11">
      <x:c r="A11" t="str">
        <x:v>Неделя 8</x:v>
      </x:c>
      <x:c r="B11" s="34" t="n">
        <x:f>H10</x:f>
        <x:v>1110445.9051341286</x:v>
      </x:c>
      <x:c r="C11" s="34" t="n">
        <x:f>Inputs!$B$5/4.33</x:f>
        <x:v>2771362.586605081</x:v>
      </x:c>
      <x:c r="D11" s="34" t="n">
        <x:f>Inputs!$B$7/4.33 + C11*(1-Inputs!$B$6)</x:f>
        <x:v>2595842.9561200924</x:v>
      </x:c>
      <x:c r="E11" s="34" t="n">
        <x:f>(Inputs!$B$11+Inputs!$B$12)/4.33</x:f>
        <x:v>166281.75519630485</x:v>
      </x:c>
      <x:c r="F11" s="34" t="n">
        <x:f>Inputs!$B$10/4.33</x:f>
        <x:v>69284.06466512702</x:v>
      </x:c>
      <x:c r="G11" s="34" t="n">
        <x:f>Inputs!$B$18/13</x:f>
        <x:v>138461.53846153847</x:v>
      </x:c>
      <x:c r="H11" s="34" t="n">
        <x:f>B11+C11-D11-E11-F11-G11</x:f>
        <x:v>911938.177296147</x:v>
      </x:c>
    </x:row>
    <x:row r="12">
      <x:c r="A12" t="str">
        <x:v>Неделя 9</x:v>
      </x:c>
      <x:c r="B12" s="34" t="n">
        <x:f>H11</x:f>
        <x:v>911938.177296147</x:v>
      </x:c>
      <x:c r="C12" s="34" t="n">
        <x:f>Inputs!$B$5/4.33</x:f>
        <x:v>2771362.586605081</x:v>
      </x:c>
      <x:c r="D12" s="34" t="n">
        <x:f>Inputs!$B$7/4.33 + C12*(1-Inputs!$B$6)</x:f>
        <x:v>2595842.9561200924</x:v>
      </x:c>
      <x:c r="E12" s="34" t="n">
        <x:f>(Inputs!$B$11+Inputs!$B$12)/4.33</x:f>
        <x:v>166281.75519630485</x:v>
      </x:c>
      <x:c r="F12" s="34" t="n">
        <x:f>Inputs!$B$10/4.33</x:f>
        <x:v>69284.06466512702</x:v>
      </x:c>
      <x:c r="G12" s="34" t="n">
        <x:f>Inputs!$B$18/13</x:f>
        <x:v>138461.53846153847</x:v>
      </x:c>
      <x:c r="H12" s="34" t="n">
        <x:f>B12+C12-D12-E12-F12-G12</x:f>
        <x:v>713430.4494581653</x:v>
      </x:c>
    </x:row>
    <x:row r="13">
      <x:c r="A13" t="str">
        <x:v>Неделя 10</x:v>
      </x:c>
      <x:c r="B13" s="34" t="n">
        <x:f>H12</x:f>
        <x:v>713430.4494581653</x:v>
      </x:c>
      <x:c r="C13" s="34" t="n">
        <x:f>Inputs!$B$5/4.33</x:f>
        <x:v>2771362.586605081</x:v>
      </x:c>
      <x:c r="D13" s="34" t="n">
        <x:f>Inputs!$B$7/4.33 + C13*(1-Inputs!$B$6)</x:f>
        <x:v>2595842.9561200924</x:v>
      </x:c>
      <x:c r="E13" s="34" t="n">
        <x:f>(Inputs!$B$11+Inputs!$B$12)/4.33</x:f>
        <x:v>166281.75519630485</x:v>
      </x:c>
      <x:c r="F13" s="34" t="n">
        <x:f>Inputs!$B$10/4.33</x:f>
        <x:v>69284.06466512702</x:v>
      </x:c>
      <x:c r="G13" s="34" t="n">
        <x:f>Inputs!$B$18/13</x:f>
        <x:v>138461.53846153847</x:v>
      </x:c>
      <x:c r="H13" s="34" t="n">
        <x:f>B13+C13-D13-E13-F13-G13</x:f>
        <x:v>514922.72162018367</x:v>
      </x:c>
    </x:row>
    <x:row r="14">
      <x:c r="A14" t="str">
        <x:v>Неделя 11</x:v>
      </x:c>
      <x:c r="B14" s="34" t="n">
        <x:f>H13</x:f>
        <x:v>514922.72162018367</x:v>
      </x:c>
      <x:c r="C14" s="34" t="n">
        <x:f>Inputs!$B$5/4.33</x:f>
        <x:v>2771362.586605081</x:v>
      </x:c>
      <x:c r="D14" s="34" t="n">
        <x:f>Inputs!$B$7/4.33 + C14*(1-Inputs!$B$6)</x:f>
        <x:v>2595842.9561200924</x:v>
      </x:c>
      <x:c r="E14" s="34" t="n">
        <x:f>(Inputs!$B$11+Inputs!$B$12)/4.33</x:f>
        <x:v>166281.75519630485</x:v>
      </x:c>
      <x:c r="F14" s="34" t="n">
        <x:f>Inputs!$B$10/4.33</x:f>
        <x:v>69284.06466512702</x:v>
      </x:c>
      <x:c r="G14" s="34" t="n">
        <x:f>Inputs!$B$18/13</x:f>
        <x:v>138461.53846153847</x:v>
      </x:c>
      <x:c r="H14" s="34" t="n">
        <x:f>B14+C14-D14-E14-F14-G14</x:f>
        <x:v>316414.993782202</x:v>
      </x:c>
    </x:row>
    <x:row r="15">
      <x:c r="A15" t="str">
        <x:v>Неделя 12</x:v>
      </x:c>
      <x:c r="B15" s="34" t="n">
        <x:f>H14</x:f>
        <x:v>316414.993782202</x:v>
      </x:c>
      <x:c r="C15" s="34" t="n">
        <x:f>Inputs!$B$5/4.33</x:f>
        <x:v>2771362.586605081</x:v>
      </x:c>
      <x:c r="D15" s="34" t="n">
        <x:f>Inputs!$B$7/4.33 + C15*(1-Inputs!$B$6)</x:f>
        <x:v>2595842.9561200924</x:v>
      </x:c>
      <x:c r="E15" s="34" t="n">
        <x:f>(Inputs!$B$11+Inputs!$B$12)/4.33</x:f>
        <x:v>166281.75519630485</x:v>
      </x:c>
      <x:c r="F15" s="34" t="n">
        <x:f>Inputs!$B$10/4.33</x:f>
        <x:v>69284.06466512702</x:v>
      </x:c>
      <x:c r="G15" s="34" t="n">
        <x:f>Inputs!$B$18/13</x:f>
        <x:v>138461.53846153847</x:v>
      </x:c>
      <x:c r="H15" s="34" t="n">
        <x:f>B15+C15-D15-E15-F15-G15</x:f>
        <x:v>117907.26594422033</x:v>
      </x:c>
    </x:row>
    <x:row r="16">
      <x:c r="A16" t="str">
        <x:v>Неделя 13</x:v>
      </x:c>
      <x:c r="B16" s="34" t="n">
        <x:f>H15</x:f>
        <x:v>117907.26594422033</x:v>
      </x:c>
      <x:c r="C16" s="34" t="n">
        <x:f>Inputs!$B$5/4.33</x:f>
        <x:v>2771362.586605081</x:v>
      </x:c>
      <x:c r="D16" s="34" t="n">
        <x:f>Inputs!$B$7/4.33 + C16*(1-Inputs!$B$6)</x:f>
        <x:v>2595842.9561200924</x:v>
      </x:c>
      <x:c r="E16" s="34" t="n">
        <x:f>(Inputs!$B$11+Inputs!$B$12)/4.33</x:f>
        <x:v>166281.75519630485</x:v>
      </x:c>
      <x:c r="F16" s="34" t="n">
        <x:f>Inputs!$B$10/4.33</x:f>
        <x:v>69284.06466512702</x:v>
      </x:c>
      <x:c r="G16" s="34" t="n">
        <x:f>Inputs!$B$18/13</x:f>
        <x:v>138461.53846153847</x:v>
      </x:c>
      <x:c r="H16" s="34" t="n">
        <x:f>B16+C16-D16-E16-F16-G16</x:f>
        <x:v>-80600.46189376176</x:v>
      </x:c>
    </x:row>
  </x:sheetData>
  <x:mergeCells>
    <x:mergeCell ref="A1:H1"/>
  </x:mergeCells>
  <x:conditionalFormatting sqref="H4:H16">
    <x:cfRule type="cellIs" dxfId="8" priority="1" operator="lessThan">
      <x:formula>Inputs!$B$17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4" max="4" width="47" hidden="0" customWidth="1"/>
  </x:cols>
  <x:sheetData>
    <x:row r="1" ht="28" customHeight="1">
      <x:c r="A1" s="4" t="str">
        <x:v>ДОЛГ И ОБСЛУЖИВАНИЕ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Показатель</x:v>
      </x:c>
      <x:c r="B3" s="15" t="str">
        <x:v>Значение</x:v>
      </x:c>
      <x:c r="C3" s="15" t="str">
        <x:v>Ед.</x:v>
      </x:c>
      <x:c r="D3" s="15" t="str">
        <x:v>Интерпретация</x:v>
      </x:c>
    </x:row>
    <x:row r="4">
      <x:c r="A4" s="8" t="str">
        <x:v>Остаток долга</x:v>
      </x:c>
      <x:c r="B4" s="40" t="n">
        <x:f>Inputs!$B$13</x:f>
        <x:v>18000000</x:v>
      </x:c>
      <x:c r="C4" s="8" t="str">
        <x:v>₽</x:v>
      </x:c>
      <x:c r="D4" s="8" t="str">
        <x:v>Общий долг</x:v>
      </x:c>
    </x:row>
    <x:row r="5">
      <x:c r="A5" s="8" t="str">
        <x:v>Проценты в год</x:v>
      </x:c>
      <x:c r="B5" s="40" t="n">
        <x:f>Inputs!$B$11*12</x:f>
        <x:v>2640000</x:v>
      </x:c>
      <x:c r="C5" s="8" t="str">
        <x:v>₽</x:v>
      </x:c>
      <x:c r="D5" s="8" t="str">
        <x:v>Текущая процентная нагрузка × 12</x:v>
      </x:c>
    </x:row>
    <x:row r="6">
      <x:c r="A6" s="8" t="str">
        <x:v>Principal в год</x:v>
      </x:c>
      <x:c r="B6" s="40" t="n">
        <x:f>Inputs!$B$12*12</x:f>
        <x:v>6000000</x:v>
      </x:c>
      <x:c r="C6" s="8" t="str">
        <x:v>₽</x:v>
      </x:c>
      <x:c r="D6" s="8" t="str">
        <x:v>Погашение тела × 12</x:v>
      </x:c>
    </x:row>
    <x:row r="7">
      <x:c r="A7" s="8" t="str">
        <x:v>Debt service в год</x:v>
      </x:c>
      <x:c r="B7" s="40" t="n">
        <x:f>B5+B6</x:f>
        <x:v>8640000</x:v>
      </x:c>
      <x:c r="C7" s="8" t="str">
        <x:v>₽</x:v>
      </x:c>
      <x:c r="D7" s="8" t="str">
        <x:v>Проценты + principal</x:v>
      </x:c>
    </x:row>
    <x:row r="8">
      <x:c r="A8" s="8" t="str">
        <x:v>EBITDA proxy</x:v>
      </x:c>
      <x:c r="B8" s="40" t="n">
        <x:f>Inputs!$B$5*Inputs!$B$6*12-Inputs!$B$7*12</x:f>
        <x:v>9120000.000000007</x:v>
      </x:c>
      <x:c r="C8" s="8" t="str">
        <x:v>₽</x:v>
      </x:c>
      <x:c r="D8" s="8" t="str">
        <x:v>Выручка × маржа – фиксированные OPEX</x:v>
      </x:c>
    </x:row>
    <x:row r="9">
      <x:c r="A9" s="8" t="str">
        <x:v>DSCR</x:v>
      </x:c>
      <x:c r="B9" s="41" t="n">
        <x:f>IF(B7=0,0,B8/B7)</x:f>
        <x:v>1.0555555555555565</x:v>
      </x:c>
      <x:c r="C9" s="8" t="str">
        <x:v>x</x:v>
      </x:c>
      <x:c r="D9" s="8" t="str">
        <x:v>&lt;1,0x — денежный поток не покрывает обслуживание долга</x:v>
      </x:c>
    </x:row>
    <x:row r="10">
      <x:c r="A10" s="8" t="str">
        <x:v>Debt / EBITDA</x:v>
      </x:c>
      <x:c r="B10" s="41" t="n">
        <x:f>IF(B8=0,0,B4/B8)</x:f>
        <x:v>1.9736842105263142</x:v>
      </x:c>
      <x:c r="C10" s="8" t="str">
        <x:v>x</x:v>
      </x:c>
      <x:c r="D10" s="8" t="str">
        <x:v>&gt;3–4x требует особого внимания; порог зависит от отрасли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4" max="4" width="44" hidden="0" customWidth="1"/>
  </x:cols>
  <x:sheetData>
    <x:row r="1" ht="28" customHeight="1">
      <x:c r="A1" s="4" t="str">
        <x:v>ОБОРОТНЫЙ КАПИТАЛ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Показатель</x:v>
      </x:c>
      <x:c r="B3" s="15" t="str">
        <x:v>Значение</x:v>
      </x:c>
      <x:c r="C3" s="15" t="str">
        <x:v>Ед.</x:v>
      </x:c>
      <x:c r="D3" s="15" t="str">
        <x:v>Комментарий</x:v>
      </x:c>
    </x:row>
    <x:row r="4">
      <x:c r="A4" t="str">
        <x:v>Дебиторка</x:v>
      </x:c>
      <x:c r="B4" s="34" t="n">
        <x:f>Inputs!$B$14</x:f>
        <x:v>4200000</x:v>
      </x:c>
      <x:c r="C4" t="str">
        <x:v>₽</x:v>
      </x:c>
      <x:c r="D4" t="str">
        <x:v>AR</x:v>
      </x:c>
    </x:row>
    <x:row r="5">
      <x:c r="A5" t="str">
        <x:v>Кредиторка</x:v>
      </x:c>
      <x:c r="B5" s="34" t="n">
        <x:f>Inputs!$B$15</x:f>
        <x:v>5800000</x:v>
      </x:c>
      <x:c r="C5" t="str">
        <x:v>₽</x:v>
      </x:c>
      <x:c r="D5" t="str">
        <x:v>AP</x:v>
      </x:c>
    </x:row>
    <x:row r="6">
      <x:c r="A6" t="str">
        <x:v>Запасы</x:v>
      </x:c>
      <x:c r="B6" s="34" t="n">
        <x:f>Inputs!$B$16</x:f>
        <x:v>14500000</x:v>
      </x:c>
      <x:c r="C6" t="str">
        <x:v>₽</x:v>
      </x:c>
      <x:c r="D6" t="str">
        <x:v>Inventory</x:v>
      </x:c>
    </x:row>
    <x:row r="7">
      <x:c r="A7" t="str">
        <x:v>Дни дебиторки</x:v>
      </x:c>
      <x:c r="B7" s="44" t="n">
        <x:f>IF(Inputs!$B$5=0,0,B4/Inputs!$B$5*30)</x:f>
        <x:v>10.5</x:v>
      </x:c>
      <x:c r="C7" t="str">
        <x:v>дней</x:v>
      </x:c>
      <x:c r="D7" t="str">
        <x:v>AR / monthly revenue × 30</x:v>
      </x:c>
    </x:row>
    <x:row r="8">
      <x:c r="A8" t="str">
        <x:v>Дни запасов</x:v>
      </x:c>
      <x:c r="B8" s="44" t="n">
        <x:f>IF(Inputs!$B$5*(1-Inputs!$B$6)=0,0,B6/(Inputs!$B$5*(1-Inputs!$B$6))*30)</x:f>
        <x:v>50.34722222222222</x:v>
      </x:c>
      <x:c r="C8" t="str">
        <x:v>дней</x:v>
      </x:c>
      <x:c r="D8" t="str">
        <x:v>Inventory / monthly COGS × 30</x:v>
      </x:c>
    </x:row>
    <x:row r="9">
      <x:c r="A9" t="str">
        <x:v>Дни кредиторки</x:v>
      </x:c>
      <x:c r="B9" s="44" t="n">
        <x:f>IF(Inputs!$B$5*(1-Inputs!$B$6)=0,0,B5/(Inputs!$B$5*(1-Inputs!$B$6))*30)</x:f>
        <x:v>20.13888888888889</x:v>
      </x:c>
      <x:c r="C9" t="str">
        <x:v>дней</x:v>
      </x:c>
      <x:c r="D9" t="str">
        <x:v>AP / monthly COGS × 30</x:v>
      </x:c>
    </x:row>
    <x:row r="10">
      <x:c r="A10" t="str">
        <x:v>Cash conversion cycle</x:v>
      </x:c>
      <x:c r="B10" s="44" t="n">
        <x:f>B7+B8-B9</x:f>
        <x:v>40.70833333333333</x:v>
      </x:c>
      <x:c r="C10" t="str">
        <x:v>дней</x:v>
      </x:c>
      <x:c r="D10" t="str">
        <x:v>DSO + DIO – DPO</x:v>
      </x:c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54" hidden="0" customWidth="1"/>
    <x:col min="4" max="4" width="38" hidden="0" customWidth="1"/>
  </x:cols>
  <x:sheetData>
    <x:row r="1" ht="28" customHeight="1">
      <x:c r="A1" s="4" t="str">
        <x:v>КОРПОРАТИВНОЕ УПРАВЛЕНИЕ — SELF-ASSESSMENT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Проверка</x:v>
      </x:c>
      <x:c r="B3" s="15" t="str">
        <x:v>Ответ (0/1/2)</x:v>
      </x:c>
      <x:c r="C3" s="15" t="str">
        <x:v>Вес</x:v>
      </x:c>
      <x:c r="D3" s="15" t="str">
        <x:v>Комментарий</x:v>
      </x:c>
    </x:row>
    <x:row r="4">
      <x:c r="A4" s="8" t="str">
        <x:v>Есть решения, которые невозможно принять из-за конфликта собственников?</x:v>
      </x:c>
      <x:c r="B4" s="48" t="n">
        <x:v>0</x:v>
      </x:c>
      <x:c r="C4" s="8" t="n">
        <x:v>3</x:v>
      </x:c>
      <x:c r="D4" s="8" t="str">
        <x:v>0 = нет; 1 = задержка; 2 = блокировка</x:v>
      </x:c>
    </x:row>
    <x:row r="5">
      <x:c r="A5" s="8" t="str">
        <x:v>Есть единый владелец 13-недельного cash-flow?</x:v>
      </x:c>
      <x:c r="B5" s="48" t="n">
        <x:v>0</x:v>
      </x:c>
      <x:c r="C5" s="8" t="n">
        <x:v>2</x:v>
      </x:c>
      <x:c r="D5" s="8" t="str">
        <x:v>2 = нет владельца</x:v>
      </x:c>
    </x:row>
    <x:row r="6">
      <x:c r="A6" s="8" t="str">
        <x:v>Есть формальный механизм deadlock / buy-sell / независимый арбитраж?</x:v>
      </x:c>
      <x:c r="B6" s="48" t="n">
        <x:v>0</x:v>
      </x:c>
      <x:c r="C6" s="8" t="n">
        <x:v>2</x:v>
      </x:c>
      <x:c r="D6" s="8" t="str">
        <x:v>2 = отсутствует</x:v>
      </x:c>
    </x:row>
    <x:row r="7">
      <x:c r="A7" s="8" t="str">
        <x:v>CAPEX можно остановить без согласия всех собственников?</x:v>
      </x:c>
      <x:c r="B7" s="48" t="n">
        <x:v>0</x:v>
      </x:c>
      <x:c r="C7" s="8" t="n">
        <x:v>2</x:v>
      </x:c>
      <x:c r="D7" s="8" t="str">
        <x:v>2 = нельзя</x:v>
      </x:c>
    </x:row>
    <x:row r="8">
      <x:c r="A8" s="8" t="str">
        <x:v>Кредиторы получают единый пакет данных и прогноз?</x:v>
      </x:c>
      <x:c r="B8" s="48" t="n">
        <x:v>0</x:v>
      </x:c>
      <x:c r="C8" s="8" t="n">
        <x:v>2</x:v>
      </x:c>
      <x:c r="D8" s="8" t="str">
        <x:v>2 = нет</x:v>
      </x:c>
    </x:row>
    <x:row r="9">
      <x:c r="A9" s="8" t="str">
        <x:v>Есть утверждённый minimum cash / runway threshold?</x:v>
      </x:c>
      <x:c r="B9" s="48" t="n">
        <x:v>0</x:v>
      </x:c>
      <x:c r="C9" s="8" t="n">
        <x:v>2</x:v>
      </x:c>
      <x:c r="D9" s="8" t="str">
        <x:v>2 = нет</x:v>
      </x:c>
    </x:row>
    <x:row r="10">
      <x:c r="A10" s="8" t="str">
        <x:v>Решения по слабым активам имеют владельца и дедлайн?</x:v>
      </x:c>
      <x:c r="B10" s="48" t="n">
        <x:v>0</x:v>
      </x:c>
      <x:c r="C10" s="8" t="n">
        <x:v>2</x:v>
      </x:c>
      <x:c r="D10" s="8" t="str">
        <x:v>2 = нет</x:v>
      </x:c>
    </x:row>
    <x:row r="11">
      <x:c r="A11" s="8" t="str">
        <x:v>Итого governance risk score</x:v>
      </x:c>
      <x:c r="B11" s="49" t="n">
        <x:f>SUMPRODUCT(B4:B10,C4:C10)</x:f>
        <x:v>0</x:v>
      </x:c>
      <x:c r="C11" s="8"/>
      <x:c r="D11" s="8" t="str">
        <x:v>Чем выше, тем хуже</x:v>
      </x:c>
    </x:row>
  </x:sheetData>
  <x:mergeCells>
    <x:mergeCell ref="A1:H1"/>
  </x:mergeCells>
  <x:dataValidations count="1">
    <x:dataValidation type="list" sqref="B4:B10">
      <x:formula1>"0,1,2"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7" hidden="0" customWidth="1"/>
    <x:col min="3" max="3" width="17" hidden="0" customWidth="1"/>
    <x:col min="4" max="4" width="17" hidden="0" customWidth="1"/>
    <x:col min="6" max="6" width="44" hidden="0" customWidth="1"/>
    <x:col min="7" max="7" width="18" hidden="0" customWidth="1"/>
  </x:cols>
  <x:sheetData>
    <x:row r="1" ht="28" customHeight="1">
      <x:c r="A1" s="4" t="str">
        <x:v>СЦЕНАРИИ BASE / WEAK / STRESS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Показатель</x:v>
      </x:c>
      <x:c r="B3" s="15" t="str">
        <x:v>Base</x:v>
      </x:c>
      <x:c r="C3" s="15" t="str">
        <x:v>Weak</x:v>
      </x:c>
      <x:c r="D3" s="15" t="str">
        <x:v>Stress</x:v>
      </x:c>
      <x:c r="E3" s="15" t="str">
        <x:v>Ед.</x:v>
      </x:c>
      <x:c r="F3" s="15" t="str">
        <x:v>Логика</x:v>
      </x:c>
      <x:c r="G3" s="15" t="str">
        <x:v>Источник</x:v>
      </x:c>
    </x:row>
    <x:row r="4">
      <x:c r="A4" t="str">
        <x:v>Выручка / мес.</x:v>
      </x:c>
      <x:c r="B4" s="34" t="n">
        <x:f>Inputs!$B$5</x:f>
        <x:v>12000000</x:v>
      </x:c>
      <x:c r="C4" s="34" t="n">
        <x:f>Inputs!$B$5*(1+Inputs!$B$20)</x:f>
        <x:v>10200000</x:v>
      </x:c>
      <x:c r="D4" s="34" t="n">
        <x:f>Inputs!$B$5*(1+Inputs!$B$21)</x:f>
        <x:v>8400000</x:v>
      </x:c>
      <x:c r="F4" t="str">
        <x:v>Сценарий пользователя</x:v>
      </x:c>
      <x:c r="G4" t="str">
        <x:v>Inputs</x:v>
      </x:c>
    </x:row>
    <x:row r="5">
      <x:c r="A5" t="str">
        <x:v>Валовая маржа</x:v>
      </x:c>
      <x:c r="B5" s="52" t="n">
        <x:f>Inputs!$B$6</x:f>
        <x:v>0.28</x:v>
      </x:c>
      <x:c r="C5" s="52" t="n">
        <x:f>Inputs!$B$6-0.02</x:f>
        <x:v>0.26</x:v>
      </x:c>
      <x:c r="D5" s="52" t="n">
        <x:f>MAX(0,Inputs!$B$6+Inputs!$B$22)</x:f>
        <x:v>0.23000000000000004</x:v>
      </x:c>
      <x:c r="F5" t="str">
        <x:v>Base: Input; Weak: -2 п.п.; Stress: ввод</x:v>
      </x:c>
      <x:c r="G5" t="str">
        <x:v>Inputs</x:v>
      </x:c>
    </x:row>
    <x:row r="6">
      <x:c r="A6" t="str">
        <x:v>Фиксированные OPEX / мес.</x:v>
      </x:c>
      <x:c r="B6" s="34" t="n">
        <x:f>Inputs!$B$7</x:f>
        <x:v>2600000</x:v>
      </x:c>
      <x:c r="C6" s="34" t="n">
        <x:f>Inputs!$B$7</x:f>
        <x:v>2600000</x:v>
      </x:c>
      <x:c r="D6" s="34" t="n">
        <x:f>Inputs!$B$7*(1-Inputs!$B$23)</x:f>
        <x:v>2288000</x:v>
      </x:c>
      <x:c r="F6" t="str">
        <x:v>Stress включает cost cut</x:v>
      </x:c>
      <x:c r="G6" t="str">
        <x:v>Inputs</x:v>
      </x:c>
    </x:row>
    <x:row r="7">
      <x:c r="A7" t="str">
        <x:v>EBITDA proxy / мес.</x:v>
      </x:c>
      <x:c r="B7" s="34" t="n">
        <x:f>B4*B5-B6</x:f>
        <x:v>760000.0000000005</x:v>
      </x:c>
      <x:c r="C7" s="34" t="n">
        <x:f>C4*C5-C6</x:f>
        <x:v>52000</x:v>
      </x:c>
      <x:c r="D7" s="34" t="n">
        <x:f>D4*D5-D6</x:f>
        <x:v>-355999.99999999977</x:v>
      </x:c>
      <x:c r="F7" t="str">
        <x:v>Revenue × margin – OPEX</x:v>
      </x:c>
      <x:c r="G7" t="str">
        <x:v>Inputs</x:v>
      </x:c>
    </x:row>
    <x:row r="8">
      <x:c r="A8" t="str">
        <x:v>Debt service / мес.</x:v>
      </x:c>
      <x:c r="B8" s="34" t="n">
        <x:f>Inputs!$B$11+Inputs!$B$12</x:f>
        <x:v>720000</x:v>
      </x:c>
      <x:c r="C8" s="34" t="n">
        <x:f>Inputs!$B$11+Inputs!$B$12</x:f>
        <x:v>720000</x:v>
      </x:c>
      <x:c r="D8" s="34" t="n">
        <x:f>Inputs!$B$11+Inputs!$B$12</x:f>
        <x:v>720000</x:v>
      </x:c>
      <x:c r="F8" t="str">
        <x:v>Проценты + principal</x:v>
      </x:c>
      <x:c r="G8" t="str">
        <x:v>Inputs</x:v>
      </x:c>
    </x:row>
    <x:row r="9">
      <x:c r="A9" t="str">
        <x:v>Free cash proxy / мес.</x:v>
      </x:c>
      <x:c r="B9" s="34" t="n">
        <x:f>B7-B8-Inputs!$B$10-Inputs!$B$18/3</x:f>
        <x:v>-859999.9999999995</x:v>
      </x:c>
      <x:c r="C9" s="34" t="n">
        <x:f>C7-C8-Inputs!$B$10-Inputs!$B$18/3</x:f>
        <x:v>-1568000</x:v>
      </x:c>
      <x:c r="D9" s="34" t="n">
        <x:f>D7-D8-Inputs!$B$10-Inputs!$B$18/3</x:f>
        <x:v>-1975999.9999999998</x:v>
      </x:c>
      <x:c r="F9" t="str">
        <x:v>После налога и условного CAPEX</x:v>
      </x:c>
      <x:c r="G9" t="str">
        <x:v>Inputs</x:v>
      </x:c>
    </x:row>
    <x:row r="10">
      <x:c r="A10" t="str">
        <x:v>Runway, мес.</x:v>
      </x:c>
      <x:c r="B10" s="44" t="n">
        <x:f>IF(B9&gt;=0,99,Inputs!$B$4/ABS(B9))</x:f>
        <x:v>2.906976744186048</x:v>
      </x:c>
      <x:c r="C10" s="44" t="n">
        <x:f>IF(C9&gt;=0,99,Inputs!$B$4/ABS(C9))</x:f>
        <x:v>1.594387755102041</x:v>
      </x:c>
      <x:c r="D10" s="44" t="n">
        <x:f>IF(D9&gt;=0,99,Inputs!$B$4/ABS(D9))</x:f>
        <x:v>1.265182186234818</x:v>
      </x:c>
      <x:c r="F10" t="str">
        <x:v>Cash / monthly deficit</x:v>
      </x:c>
      <x:c r="G10" t="str">
        <x:v>Inputs</x:v>
      </x:c>
    </x:row>
    <x:row r="11">
      <x:c r="A11" t="str">
        <x:v>Economic status</x:v>
      </x:c>
      <x:c r="B11" s="36" t="str">
        <x:f>IF(B9&gt;0,"Устойчиво","Дефицит cash")</x:f>
        <x:v>Дефицит cash</x:v>
      </x:c>
      <x:c r="C11" s="36" t="str">
        <x:f>IF(C9&gt;0,"Устойчиво","Дефицит cash")</x:f>
        <x:v>Дефицит cash</x:v>
      </x:c>
      <x:c r="D11" s="36" t="str">
        <x:f>IF(D9&gt;0,"Устойчиво","Дефицит cash")</x:f>
        <x:v>Дефицит cash</x:v>
      </x:c>
      <x:c r="F11" t="str">
        <x:v>Положительный/отрицательный cash</x:v>
      </x:c>
      <x:c r="G11" t="str">
        <x:v>Inputs</x:v>
      </x:c>
    </x:row>
    <x:row r="12">
      <x:c r="A12" t="str">
        <x:v>Комментарий</x:v>
      </x:c>
      <x:c r="B12" s="36" t="str">
        <x:f>"Base без шока"</x:f>
        <x:v>Base без шока</x:v>
      </x:c>
      <x:c r="C12" s="36" t="str">
        <x:f>"Снижение выручки +2 п.п. давления на маржу"</x:f>
        <x:v>Снижение выручки +2 п.п. давления на маржу</x:v>
      </x:c>
      <x:c r="D12" s="36" t="str">
        <x:f>"Шок выручки и маржи + сокращение OPEX"</x:f>
        <x:v>Шок выручки и маржи + сокращение OPEX</x:v>
      </x:c>
      <x:c r="F12" t="str"/>
      <x:c r="G12" t="str">
        <x:v>Inputs</x:v>
      </x:c>
    </x:row>
  </x:sheetData>
  <x:mergeCells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18" hidden="0" customWidth="1"/>
    <x:col min="4" max="4" width="18" hidden="0" customWidth="1"/>
    <x:col min="5" max="5" width="10" hidden="0" customWidth="1"/>
    <x:col min="6" max="6" width="40" hidden="0" customWidth="1"/>
  </x:cols>
  <x:sheetData>
    <x:row r="1" ht="28" customHeight="1">
      <x:c r="A1" s="4" t="str">
        <x:v>18 РАННИХ СИГНАЛОВ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Сигнал</x:v>
      </x:c>
      <x:c r="B3" s="15" t="str">
        <x:v>Факт</x:v>
      </x:c>
      <x:c r="C3" s="15" t="str">
        <x:v>Жёлтый порог</x:v>
      </x:c>
      <x:c r="D3" s="15" t="str">
        <x:v>Красный порог</x:v>
      </x:c>
      <x:c r="E3" s="15" t="str">
        <x:v>Баллы</x:v>
      </x:c>
      <x:c r="F3" s="15" t="str">
        <x:v>Что означает</x:v>
      </x:c>
    </x:row>
    <x:row r="4">
      <x:c r="A4" s="8" t="str">
        <x:v>Ending cash &lt; minimum</x:v>
      </x:c>
      <x:c r="B4" s="54" t="n">
        <x:f>COUNTIF(Cash13W!H4:H16,"&lt;"&amp;Inputs!$B$17)</x:f>
        <x:v>7</x:v>
      </x:c>
      <x:c r="C4" s="8" t="str">
        <x:v>1–2 недели</x:v>
      </x:c>
      <x:c r="D4" s="8" t="str">
        <x:v>≥3 недели</x:v>
      </x:c>
      <x:c r="E4" s="49" t="n">
        <x:f>IF(B4&gt;=3,2,IF(B4&gt;=1,1,0))</x:f>
        <x:v>2</x:v>
      </x:c>
      <x:c r="F4" s="8" t="str">
        <x:v>Платёжный календарь уже некомфортен</x:v>
      </x:c>
    </x:row>
    <x:row r="5">
      <x:c r="A5" s="8" t="str">
        <x:v>Runway Stress</x:v>
      </x:c>
      <x:c r="B5" s="54" t="n">
        <x:f>Stress!D10</x:f>
        <x:v>1.265182186234818</x:v>
      </x:c>
      <x:c r="C5" s="8" t="str">
        <x:v>4–9 мес.</x:v>
      </x:c>
      <x:c r="D5" s="8" t="str">
        <x:v>&lt;4 мес.</x:v>
      </x:c>
      <x:c r="E5" s="49" t="n">
        <x:f>IF(B5&lt;4,2,IF(B5&lt;=9,1,0))</x:f>
        <x:v>2</x:v>
      </x:c>
      <x:c r="F5" s="8" t="str">
        <x:v>Недостаточно времени на перестройку</x:v>
      </x:c>
    </x:row>
    <x:row r="6">
      <x:c r="A6" s="8" t="str">
        <x:v>DSCR</x:v>
      </x:c>
      <x:c r="B6" s="54" t="n">
        <x:f>Debt!B9</x:f>
        <x:v>1.0555555555555565</x:v>
      </x:c>
      <x:c r="C6" s="8" t="str">
        <x:v>1,0–1,3x</x:v>
      </x:c>
      <x:c r="D6" s="8" t="str">
        <x:v>&lt;1,0x</x:v>
      </x:c>
      <x:c r="E6" s="49" t="n">
        <x:f>IF(B6&lt;1,2,IF(B6&lt;1.3,1,0))</x:f>
        <x:v>1</x:v>
      </x:c>
      <x:c r="F6" s="8" t="str">
        <x:v>Долг не покрывается операционным потоком</x:v>
      </x:c>
    </x:row>
    <x:row r="7">
      <x:c r="A7" s="8" t="str">
        <x:v>Debt / EBITDA</x:v>
      </x:c>
      <x:c r="B7" s="54" t="n">
        <x:f>Debt!B10</x:f>
        <x:v>1.9736842105263142</x:v>
      </x:c>
      <x:c r="C7" s="8" t="str">
        <x:v>3–4x</x:v>
      </x:c>
      <x:c r="D7" s="8" t="str">
        <x:v>&gt;4x</x:v>
      </x:c>
      <x:c r="E7" s="49" t="n">
        <x:f>IF(B7&gt;4,2,IF(B7&gt;=3,1,0))</x:f>
        <x:v>0</x:v>
      </x:c>
      <x:c r="F7" s="8" t="str">
        <x:v>Высокая долговая нагрузка</x:v>
      </x:c>
    </x:row>
    <x:row r="8">
      <x:c r="A8" s="8" t="str">
        <x:v>Cash conversion cycle</x:v>
      </x:c>
      <x:c r="B8" s="54" t="n">
        <x:f>WorkingCapital!B10</x:f>
        <x:v>40.70833333333333</x:v>
      </x:c>
      <x:c r="C8" s="8" t="str">
        <x:v>60–90 дней</x:v>
      </x:c>
      <x:c r="D8" s="8" t="str">
        <x:v>&gt;90 дней</x:v>
      </x:c>
      <x:c r="E8" s="49" t="n">
        <x:f>IF(B8&gt;90,2,IF(B8&gt;60,1,0))</x:f>
        <x:v>0</x:v>
      </x:c>
      <x:c r="F8" s="8" t="str">
        <x:v>Больше денег связано в оборотном капитале</x:v>
      </x:c>
    </x:row>
    <x:row r="9">
      <x:c r="A9" s="8" t="str">
        <x:v>Запасы / месячная выручка</x:v>
      </x:c>
      <x:c r="B9" s="54" t="n">
        <x:f>Inputs!$B$16/Inputs!$B$5</x:f>
        <x:v>1.2083333333333333</x:v>
      </x:c>
      <x:c r="C9" s="8" t="str">
        <x:v>&gt;1,0x</x:v>
      </x:c>
      <x:c r="D9" s="8" t="str">
        <x:v>&gt;1,5x</x:v>
      </x:c>
      <x:c r="E9" s="49" t="n">
        <x:f>IF(B9&gt;1.5,2,IF(B9&gt;1,1,0))</x:f>
        <x:v>1</x:v>
      </x:c>
      <x:c r="F9" s="8" t="str">
        <x:v>Слишком много cash в запасе</x:v>
      </x:c>
    </x:row>
    <x:row r="10">
      <x:c r="A10" s="8" t="str">
        <x:v>Дебиторка / месячная выручка</x:v>
      </x:c>
      <x:c r="B10" s="54" t="n">
        <x:f>Inputs!$B$14/Inputs!$B$5</x:f>
        <x:v>0.35</x:v>
      </x:c>
      <x:c r="C10" s="8" t="str">
        <x:v>&gt;0,35x</x:v>
      </x:c>
      <x:c r="D10" s="8" t="str">
        <x:v>&gt;0,60x</x:v>
      </x:c>
      <x:c r="E10" s="49" t="n">
        <x:f>IF(B10&gt;0.6,2,IF(B10&gt;0.35,1,0))</x:f>
        <x:v>0</x:v>
      </x:c>
      <x:c r="F10" s="8" t="str">
        <x:v>Деньги задерживаются у клиентов</x:v>
      </x:c>
    </x:row>
    <x:row r="11">
      <x:c r="A11" s="8" t="str">
        <x:v>CAPEX / cash</x:v>
      </x:c>
      <x:c r="B11" s="54" t="n">
        <x:f>Inputs!$B$18/Inputs!$B$4</x:f>
        <x:v>0.72</x:v>
      </x:c>
      <x:c r="C11" s="8" t="str">
        <x:v>&gt;40%</x:v>
      </x:c>
      <x:c r="D11" s="8" t="str">
        <x:v>&gt;70%</x:v>
      </x:c>
      <x:c r="E11" s="49" t="n">
        <x:f>IF(B11&gt;0.7,2,IF(B11&gt;0.4,1,0))</x:f>
        <x:v>2</x:v>
      </x:c>
      <x:c r="F11" s="8" t="str">
        <x:v>Инвестиции съедают ликвидность</x:v>
      </x:c>
    </x:row>
    <x:row r="12">
      <x:c r="A12" s="8" t="str">
        <x:v>Новое финансирование</x:v>
      </x:c>
      <x:c r="B12" s="54" t="n">
        <x:f>Inputs!$B$19</x:f>
        <x:v>0</x:v>
      </x:c>
      <x:c r="C12" s="8" t="str">
        <x:v>не подтверждено</x:v>
      </x:c>
      <x:c r="D12" s="8" t="str">
        <x:v>0 при дефиците cash</x:v>
      </x:c>
      <x:c r="E12" s="49" t="n">
        <x:f>IF(AND(B12=0,Stress!D9&lt;0),2,IF(B12=0,1,0))</x:f>
        <x:v>2</x:v>
      </x:c>
      <x:c r="F12" s="8" t="str">
        <x:v>Зависимость от будущего раунда</x:v>
      </x:c>
    </x:row>
    <x:row r="13">
      <x:c r="A13" s="8" t="str">
        <x:v>Governance risk</x:v>
      </x:c>
      <x:c r="B13" s="54" t="n">
        <x:f>Governance!B11</x:f>
        <x:v>0</x:v>
      </x:c>
      <x:c r="C13" s="8" t="str">
        <x:v>8–14</x:v>
      </x:c>
      <x:c r="D13" s="8" t="str">
        <x:v>&gt;14</x:v>
      </x:c>
      <x:c r="E13" s="49" t="n">
        <x:f>IF(B13&gt;14,2,IF(B13&gt;=8,1,0))</x:f>
        <x:v>0</x:v>
      </x:c>
      <x:c r="F13" s="8" t="str">
        <x:v>Deadlock становится финансовым риском</x:v>
      </x:c>
    </x:row>
    <x:row r="14">
      <x:c r="A14" s="8" t="str">
        <x:v>Stress EBITDA margin</x:v>
      </x:c>
      <x:c r="B14" s="54" t="n">
        <x:f>Stress!D7/Stress!D4</x:f>
        <x:v>-0.04238095238095235</x:v>
      </x:c>
      <x:c r="C14" s="8" t="str">
        <x:v>0–5%</x:v>
      </x:c>
      <x:c r="D14" s="8" t="str">
        <x:v>&lt;0%</x:v>
      </x:c>
      <x:c r="E14" s="49" t="n">
        <x:f>IF(B14&lt;0,2,IF(B14&lt;0.05,1,0))</x:f>
        <x:v>2</x:v>
      </x:c>
      <x:c r="F14" s="8" t="str">
        <x:v>Модель не выдерживает шок</x:v>
      </x:c>
    </x:row>
    <x:row r="15">
      <x:c r="A15" s="8" t="str">
        <x:v>Stress free cash</x:v>
      </x:c>
      <x:c r="B15" s="54" t="n">
        <x:f>Stress!D9</x:f>
        <x:v>-1975999.9999999998</x:v>
      </x:c>
      <x:c r="C15" s="8" t="str">
        <x:v>около 0</x:v>
      </x:c>
      <x:c r="D15" s="8" t="str">
        <x:v>&lt;0</x:v>
      </x:c>
      <x:c r="E15" s="49" t="n">
        <x:f>IF(B15&lt;0,2,IF(B15&lt;Inputs!B15/4.33,1,0))</x:f>
        <x:v>2</x:v>
      </x:c>
      <x:c r="F15" s="8" t="str">
        <x:v>Cash burn в стресс-сценарии</x:v>
      </x:c>
    </x:row>
    <x:row r="16">
      <x:c r="A16" s="8" t="str">
        <x:v>Фиксированные расходы / GP</x:v>
      </x:c>
      <x:c r="B16" s="54" t="n">
        <x:f>Inputs!$B$7/(Inputs!$B$5*Inputs!$B$6)</x:f>
        <x:v>0.7738095238095237</x:v>
      </x:c>
      <x:c r="C16" s="8" t="str">
        <x:v>&gt;70%</x:v>
      </x:c>
      <x:c r="D16" s="8" t="str">
        <x:v>&gt;90%</x:v>
      </x:c>
      <x:c r="E16" s="49" t="n">
        <x:f>IF(B16&gt;0.9,2,IF(B16&gt;0.7,1,0))</x:f>
        <x:v>1</x:v>
      </x:c>
      <x:c r="F16" s="8" t="str">
        <x:v>Слишком маленький операционный запас</x:v>
      </x:c>
    </x:row>
    <x:row r="17">
      <x:c r="A17" s="8" t="str">
        <x:v>Debt service / GP</x:v>
      </x:c>
      <x:c r="B17" s="54" t="n">
        <x:f>(Inputs!$B$11+Inputs!$B$12)/(Inputs!$B$5*Inputs!$B$6)</x:f>
        <x:v>0.21428571428571425</x:v>
      </x:c>
      <x:c r="C17" s="8" t="str">
        <x:v>&gt;20%</x:v>
      </x:c>
      <x:c r="D17" s="8" t="str">
        <x:v>&gt;35%</x:v>
      </x:c>
      <x:c r="E17" s="49" t="n">
        <x:f>IF(B17&gt;0.35,2,IF(B17&gt;0.2,1,0))</x:f>
        <x:v>1</x:v>
      </x:c>
      <x:c r="F17" s="8" t="str">
        <x:v>Долг поглощает валовую прибыль</x:v>
      </x:c>
    </x:row>
    <x:row r="18">
      <x:c r="A18" s="8" t="str">
        <x:v>AP / AR</x:v>
      </x:c>
      <x:c r="B18" s="54" t="n">
        <x:f>IF(Inputs!$B$14=0,0,Inputs!$B$15/Inputs!$B$14)</x:f>
        <x:v>1.380952380952381</x:v>
      </x:c>
      <x:c r="C18" s="8" t="str">
        <x:v>&gt;1,0x</x:v>
      </x:c>
      <x:c r="D18" s="8" t="str">
        <x:v>&gt;2,0x</x:v>
      </x:c>
      <x:c r="E18" s="49" t="n">
        <x:f>IF(B18&gt;2,2,IF(B18&gt;1,1,0))</x:f>
        <x:v>1</x:v>
      </x:c>
      <x:c r="F18" s="8" t="str">
        <x:v>Кредиторка существенно выше дебиторки</x:v>
      </x:c>
    </x:row>
    <x:row r="19">
      <x:c r="A19" s="8" t="str">
        <x:v>Минимальный cash / OPEX</x:v>
      </x:c>
      <x:c r="B19" s="54" t="n">
        <x:f>Inputs!$B$17/Inputs!$B$7</x:f>
        <x:v>0.46153846153846156</x:v>
      </x:c>
      <x:c r="C19" s="8" t="str">
        <x:v>&lt;1 мес.</x:v>
      </x:c>
      <x:c r="D19" s="8" t="str">
        <x:v>&lt;0,5 мес.</x:v>
      </x:c>
      <x:c r="E19" s="49" t="n">
        <x:f>IF(B19&lt;0.5,2,IF(B19&lt;1,1,0))</x:f>
        <x:v>2</x:v>
      </x:c>
      <x:c r="F19" s="8" t="str">
        <x:v>Малый буфер</x:v>
      </x:c>
    </x:row>
    <x:row r="20">
      <x:c r="A20" s="8" t="str">
        <x:v>Revenue shock sensitivity</x:v>
      </x:c>
      <x:c r="B20" s="54" t="n">
        <x:f>IF(Stress!C9&lt;0,1,0)+IF(Stress!D9&lt;0,1,0)</x:f>
        <x:v>2</x:v>
      </x:c>
      <x:c r="C20" s="8" t="str">
        <x:v>Weak cash &lt;0</x:v>
      </x:c>
      <x:c r="D20" s="8" t="str">
        <x:v>Stress cash &lt;0</x:v>
      </x:c>
      <x:c r="E20" s="49" t="n">
        <x:f>IF(B20&gt;=2,2,IF(B20&gt;=1,1,0))</x:f>
        <x:v>2</x:v>
      </x:c>
      <x:c r="F20" s="8" t="str">
        <x:v>Продажи критичны к небольшому шоку</x:v>
      </x:c>
    </x:row>
    <x:row r="21">
      <x:c r="A21" s="8" t="str">
        <x:v>Концентрация красных сигналов</x:v>
      </x:c>
      <x:c r="B21" s="54" t="n">
        <x:f>COUNTIF(E4:E20,2)</x:f>
        <x:v>8</x:v>
      </x:c>
      <x:c r="C21" s="8" t="str">
        <x:v>5–7</x:v>
      </x:c>
      <x:c r="D21" s="8" t="str">
        <x:v>≥8</x:v>
      </x:c>
      <x:c r="E21" s="49" t="n">
        <x:f>IF(B21&gt;=8,2,IF(B21&gt;=5,1,0))</x:f>
        <x:v>2</x:v>
      </x:c>
      <x:c r="F21" s="8" t="str">
        <x:v>Системный кризис, а не единичная проблема</x:v>
      </x:c>
    </x:row>
  </x:sheetData>
  <x:mergeCells>
    <x:mergeCell ref="A1:H1"/>
  </x:mergeCells>
  <x:conditionalFormatting sqref="E4:E21">
    <x:cfRule type="cellIs" dxfId="1" priority="1">
      <x:formula>2</x:formula>
    </x:cfRule>
    <x:cfRule type="cellIs" dxfId="2" priority="2">
      <x:formula>1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8" max="8" width="20" hidden="0" customWidth="1"/>
  </x:cols>
  <x:sheetData>
    <x:row r="1" ht="28" customHeight="1">
      <x:c r="A1" s="4" t="str">
        <x:v>РЕШЕНИЯ ПО ЭЛЕМЕНТАМ БИЗНЕСА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Элемент</x:v>
      </x:c>
      <x:c r="B3" s="15" t="str">
        <x:v>Денежный вклад 0–2</x:v>
      </x:c>
      <x:c r="C3" s="15" t="str">
        <x:v>Капитал 0–2</x:v>
      </x:c>
      <x:c r="D3" s="15" t="str">
        <x:v>Срок исправления 0–2</x:v>
      </x:c>
      <x:c r="E3" s="15" t="str">
        <x:v>Runway 0–2</x:v>
      </x:c>
      <x:c r="F3" s="15" t="str">
        <x:v>Стратегичность 0–2</x:v>
      </x:c>
      <x:c r="G3" s="15" t="str">
        <x:v>Итого</x:v>
      </x:c>
      <x:c r="H3" s="15" t="str">
        <x:v>Решение</x:v>
      </x:c>
    </x:row>
    <x:row r="4">
      <x:c r="A4" t="str">
        <x:v>Канал продаж</x:v>
      </x:c>
      <x:c r="B4" s="22" t="n">
        <x:v>0</x:v>
      </x:c>
      <x:c r="C4" s="22" t="n">
        <x:v>0</x:v>
      </x:c>
      <x:c r="D4" s="22" t="n">
        <x:v>0</x:v>
      </x:c>
      <x:c r="E4" s="22" t="n">
        <x:v>0</x:v>
      </x:c>
      <x:c r="F4" s="22" t="n">
        <x:v>0</x:v>
      </x:c>
      <x:c r="G4" s="56" t="n">
        <x:f>SUM(B4:F4)</x:f>
        <x:v>0</x:v>
      </x:c>
      <x:c r="H4" s="56" t="str">
        <x:f>IF(G4&lt;=3,"ЗАЩИЩАТЬ",IF(G4&lt;=6,"ПЕРЕСТРАИВАТЬ",IF(G4&lt;=9,"СОКРАЩАТЬ","ВЫХОДИТЬ")))</x:f>
        <x:v>ЗАЩИЩАТЬ</x:v>
      </x:c>
    </x:row>
    <x:row r="5">
      <x:c r="A5" t="str">
        <x:v>Филиал / точка</x:v>
      </x:c>
      <x:c r="B5" s="22" t="n">
        <x:v>0</x:v>
      </x:c>
      <x:c r="C5" s="22" t="n">
        <x:v>0</x:v>
      </x:c>
      <x:c r="D5" s="22" t="n">
        <x:v>0</x:v>
      </x:c>
      <x:c r="E5" s="22" t="n">
        <x:v>0</x:v>
      </x:c>
      <x:c r="F5" s="22" t="n">
        <x:v>0</x:v>
      </x:c>
      <x:c r="G5" s="56" t="n">
        <x:f>SUM(B5:F5)</x:f>
        <x:v>0</x:v>
      </x:c>
      <x:c r="H5" s="56" t="str">
        <x:f>IF(G5&lt;=3,"ЗАЩИЩАТЬ",IF(G5&lt;=6,"ПЕРЕСТРАИВАТЬ",IF(G5&lt;=9,"СОКРАЩАТЬ","ВЫХОДИТЬ")))</x:f>
        <x:v>ЗАЩИЩАТЬ</x:v>
      </x:c>
    </x:row>
    <x:row r="6">
      <x:c r="A6" t="str">
        <x:v>Категория / запас</x:v>
      </x:c>
      <x:c r="B6" s="22" t="n">
        <x:v>0</x:v>
      </x:c>
      <x:c r="C6" s="22" t="n">
        <x:v>0</x:v>
      </x:c>
      <x:c r="D6" s="22" t="n">
        <x:v>0</x:v>
      </x:c>
      <x:c r="E6" s="22" t="n">
        <x:v>0</x:v>
      </x:c>
      <x:c r="F6" s="22" t="n">
        <x:v>0</x:v>
      </x:c>
      <x:c r="G6" s="56" t="n">
        <x:f>SUM(B6:F6)</x:f>
        <x:v>0</x:v>
      </x:c>
      <x:c r="H6" s="56" t="str">
        <x:f>IF(G6&lt;=3,"ЗАЩИЩАТЬ",IF(G6&lt;=6,"ПЕРЕСТРАИВАТЬ",IF(G6&lt;=9,"СОКРАЩАТЬ","ВЫХОДИТЬ")))</x:f>
        <x:v>ЗАЩИЩАТЬ</x:v>
      </x:c>
    </x:row>
    <x:row r="7">
      <x:c r="A7" t="str">
        <x:v>CAPEX-проект</x:v>
      </x:c>
      <x:c r="B7" s="22" t="n">
        <x:v>0</x:v>
      </x:c>
      <x:c r="C7" s="22" t="n">
        <x:v>0</x:v>
      </x:c>
      <x:c r="D7" s="22" t="n">
        <x:v>0</x:v>
      </x:c>
      <x:c r="E7" s="22" t="n">
        <x:v>0</x:v>
      </x:c>
      <x:c r="F7" s="22" t="n">
        <x:v>0</x:v>
      </x:c>
      <x:c r="G7" s="56" t="n">
        <x:f>SUM(B7:F7)</x:f>
        <x:v>0</x:v>
      </x:c>
      <x:c r="H7" s="56" t="str">
        <x:f>IF(G7&lt;=3,"ЗАЩИЩАТЬ",IF(G7&lt;=6,"ПЕРЕСТРАИВАТЬ",IF(G7&lt;=9,"СОКРАЩАТЬ","ВЫХОДИТЬ")))</x:f>
        <x:v>ЗАЩИЩАТЬ</x:v>
      </x:c>
    </x:row>
    <x:row r="8">
      <x:c r="A8" t="str">
        <x:v>Поставщик / контракт</x:v>
      </x:c>
      <x:c r="B8" s="22" t="n">
        <x:v>0</x:v>
      </x:c>
      <x:c r="C8" s="22" t="n">
        <x:v>0</x:v>
      </x:c>
      <x:c r="D8" s="22" t="n">
        <x:v>0</x:v>
      </x:c>
      <x:c r="E8" s="22" t="n">
        <x:v>0</x:v>
      </x:c>
      <x:c r="F8" s="22" t="n">
        <x:v>0</x:v>
      </x:c>
      <x:c r="G8" s="56" t="n">
        <x:f>SUM(B8:F8)</x:f>
        <x:v>0</x:v>
      </x:c>
      <x:c r="H8" s="56" t="str">
        <x:f>IF(G8&lt;=3,"ЗАЩИЩАТЬ",IF(G8&lt;=6,"ПЕРЕСТРАИВАТЬ",IF(G8&lt;=9,"СОКРАЩАТЬ","ВЫХОДИТЬ")))</x:f>
        <x:v>ЗАЩИЩАТЬ</x:v>
      </x:c>
    </x:row>
    <x:row r="9">
      <x:c r="A9" t="str">
        <x:v>Новый продукт</x:v>
      </x:c>
      <x:c r="B9" s="22" t="n">
        <x:v>0</x:v>
      </x:c>
      <x:c r="C9" s="22" t="n">
        <x:v>0</x:v>
      </x:c>
      <x:c r="D9" s="22" t="n">
        <x:v>0</x:v>
      </x:c>
      <x:c r="E9" s="22" t="n">
        <x:v>0</x:v>
      </x:c>
      <x:c r="F9" s="22" t="n">
        <x:v>0</x:v>
      </x:c>
      <x:c r="G9" s="56" t="n">
        <x:f>SUM(B9:F9)</x:f>
        <x:v>0</x:v>
      </x:c>
      <x:c r="H9" s="56" t="str">
        <x:f>IF(G9&lt;=3,"ЗАЩИЩАТЬ",IF(G9&lt;=6,"ПЕРЕСТРАИВАТЬ",IF(G9&lt;=9,"СОКРАЩАТЬ","ВЫХОДИТЬ")))</x:f>
        <x:v>ЗАЩИЩАТЬ</x:v>
      </x:c>
    </x:row>
    <x:row r="10">
      <x:c r="A10" t="str">
        <x:v>Долговой контур</x:v>
      </x:c>
      <x:c r="B10" s="22" t="n">
        <x:v>0</x:v>
      </x:c>
      <x:c r="C10" s="22" t="n">
        <x:v>0</x:v>
      </x:c>
      <x:c r="D10" s="22" t="n">
        <x:v>0</x:v>
      </x:c>
      <x:c r="E10" s="22" t="n">
        <x:v>0</x:v>
      </x:c>
      <x:c r="F10" s="22" t="n">
        <x:v>0</x:v>
      </x:c>
      <x:c r="G10" s="56" t="n">
        <x:f>SUM(B10:F10)</x:f>
        <x:v>0</x:v>
      </x:c>
      <x:c r="H10" s="56" t="str">
        <x:f>IF(G10&lt;=3,"ЗАЩИЩАТЬ",IF(G10&lt;=6,"ПЕРЕСТРАИВАТЬ",IF(G10&lt;=9,"СОКРАЩАТЬ","ВЫХОДИТЬ")))</x:f>
        <x:v>ЗАЩИЩАТЬ</x:v>
      </x:c>
    </x:row>
    <x:row r="11">
      <x:c r="A11" t="str">
        <x:v>Прочее</x:v>
      </x:c>
      <x:c r="B11" s="22" t="n">
        <x:v>0</x:v>
      </x:c>
      <x:c r="C11" s="22" t="n">
        <x:v>0</x:v>
      </x:c>
      <x:c r="D11" s="22" t="n">
        <x:v>0</x:v>
      </x:c>
      <x:c r="E11" s="22" t="n">
        <x:v>0</x:v>
      </x:c>
      <x:c r="F11" s="22" t="n">
        <x:v>0</x:v>
      </x:c>
      <x:c r="G11" s="56" t="n">
        <x:f>SUM(B11:F11)</x:f>
        <x:v>0</x:v>
      </x:c>
      <x:c r="H11" s="56" t="str">
        <x:f>IF(G11&lt;=3,"ЗАЩИЩАТЬ",IF(G11&lt;=6,"ПЕРЕСТРАИВАТЬ",IF(G11&lt;=9,"СОКРАЩАТЬ","ВЫХОДИТЬ")))</x:f>
        <x:v>ЗАЩИЩАТЬ</x:v>
      </x:c>
    </x:row>
  </x:sheetData>
  <x:mergeCells>
    <x:mergeCell ref="A1:H1"/>
  </x:mergeCells>
  <x:dataValidations count="1">
    <x:dataValidation type="list" sqref="B4:F11">
      <x:formula1>"0,1,2"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5" hidden="0" customWidth="1"/>
    <x:col min="5" max="5" width="25" hidden="0" customWidth="1"/>
    <x:col min="9" max="9" width="22" hidden="0" customWidth="1"/>
    <x:col min="2" max="2" width="17" hidden="0" customWidth="1"/>
    <x:col min="3" max="3" width="17" hidden="0" customWidth="1"/>
    <x:col min="6" max="6" width="17" hidden="0" customWidth="1"/>
    <x:col min="7" max="7" width="17" hidden="0" customWidth="1"/>
    <x:col min="10" max="10" width="19" hidden="0" customWidth="1"/>
  </x:cols>
  <x:sheetData>
    <x:row r="1" ht="28" customHeight="1">
      <x:c r="A1" s="4" t="str">
        <x:v>DASHBOARD — ПОТЕРЯ ФИНАНСОВОЙ УСТОЙЧИВОСТИ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3">
      <x:c r="A3" s="15" t="str">
        <x:v>KPI</x:v>
      </x:c>
      <x:c r="B3" s="15" t="str">
        <x:v>Значение</x:v>
      </x:c>
      <x:c r="C3" s="15" t="str">
        <x:v>Статус</x:v>
      </x:c>
      <x:c r="D3" s="15" t="str"/>
      <x:c r="E3" s="15" t="str">
        <x:v>KPI</x:v>
      </x:c>
      <x:c r="F3" s="15" t="str">
        <x:v>Значение</x:v>
      </x:c>
      <x:c r="G3" s="15" t="str">
        <x:v>Статус</x:v>
      </x:c>
      <x:c r="H3" s="15" t="str"/>
      <x:c r="I3" s="15" t="str">
        <x:v>KPI</x:v>
      </x:c>
      <x:c r="J3" s="15" t="str">
        <x:v>Значение</x:v>
      </x:c>
    </x:row>
    <x:row r="4">
      <x:c r="A4" s="8" t="str">
        <x:v>Cash через 13 недель</x:v>
      </x:c>
      <x:c r="B4" s="40" t="n">
        <x:f>Cash13W!H16</x:f>
        <x:v>-80600.46189376176</x:v>
      </x:c>
      <x:c r="C4" s="54" t="str">
        <x:f>IF(B4&lt;Inputs!$B$17,"КРАСНЫЙ","OK")</x:f>
        <x:v>КРАСНЫЙ</x:v>
      </x:c>
      <x:c r="D4" s="8" t="str"/>
      <x:c r="E4" s="8" t="str">
        <x:v>DSCR</x:v>
      </x:c>
      <x:c r="F4" s="41" t="n">
        <x:f>Debt!B9</x:f>
        <x:v>1.0555555555555565</x:v>
      </x:c>
      <x:c r="G4" s="54" t="str">
        <x:f>IF(F4&lt;1,"КРАСНЫЙ",IF(F4&lt;1.3,"ЖЁЛТЫЙ","OK"))</x:f>
        <x:v>ЖЁЛТЫЙ</x:v>
      </x:c>
      <x:c r="H4" s="8" t="str"/>
      <x:c r="I4" s="8" t="str">
        <x:v>Risk score</x:v>
      </x:c>
      <x:c r="J4" s="60" t="n">
        <x:f>SUM(Signals!E4:E21)</x:f>
        <x:v>23</x:v>
      </x:c>
    </x:row>
    <x:row r="5">
      <x:c r="A5" s="8" t="str">
        <x:v>Stress runway, мес.</x:v>
      </x:c>
      <x:c r="B5" s="61" t="n">
        <x:f>Stress!D10</x:f>
        <x:v>1.265182186234818</x:v>
      </x:c>
      <x:c r="C5" s="54" t="str">
        <x:f>IF(B5&lt;4,"КРАСНЫЙ",IF(B5&lt;=9,"ЖЁЛТЫЙ","OK"))</x:f>
        <x:v>КРАСНЫЙ</x:v>
      </x:c>
      <x:c r="D5" s="8" t="str"/>
      <x:c r="E5" s="8" t="str">
        <x:v>Debt / EBITDA</x:v>
      </x:c>
      <x:c r="F5" s="41" t="n">
        <x:f>Debt!B10</x:f>
        <x:v>1.9736842105263142</x:v>
      </x:c>
      <x:c r="G5" s="54" t="str">
        <x:f>IF(F5&gt;4,"КРАСНЫЙ",IF(F5&gt;=3,"ЖЁЛТЫЙ","OK"))</x:f>
        <x:v>OK</x:v>
      </x:c>
      <x:c r="H5" s="8" t="str"/>
      <x:c r="I5" s="8" t="str">
        <x:v>Красных сигналов</x:v>
      </x:c>
      <x:c r="J5" s="60" t="n">
        <x:f>COUNTIF(Signals!E4:E21,2)</x:f>
        <x:v>9</x:v>
      </x:c>
    </x:row>
    <x:row r="6">
      <x:c r="A6" s="8" t="str">
        <x:v>Stress free cash / мес.</x:v>
      </x:c>
      <x:c r="B6" s="40" t="n">
        <x:f>Stress!D9</x:f>
        <x:v>-1975999.9999999998</x:v>
      </x:c>
      <x:c r="C6" s="54" t="str">
        <x:f>IF(B6&lt;0,"КРАСНЫЙ","OK")</x:f>
        <x:v>КРАСНЫЙ</x:v>
      </x:c>
      <x:c r="D6" s="8" t="str"/>
      <x:c r="E6" s="8" t="str">
        <x:v>Cash conversion cycle</x:v>
      </x:c>
      <x:c r="F6" s="61" t="n">
        <x:f>WorkingCapital!B10</x:f>
        <x:v>40.70833333333333</x:v>
      </x:c>
      <x:c r="G6" s="54" t="str">
        <x:f>IF(F6&gt;90,"КРАСНЫЙ",IF(F6&gt;60,"ЖЁЛТЫЙ","OK"))</x:f>
        <x:v>OK</x:v>
      </x:c>
      <x:c r="H6" s="8" t="str"/>
      <x:c r="I6" s="8" t="str">
        <x:v>Решение</x:v>
      </x:c>
      <x:c r="J6" s="60" t="str">
        <x:f>IF(J4&gt;=24,"STOP / EXIT",IF(J4&gt;=14,"RESTRUCTURE","PROTECT / REBUILD"))</x:f>
        <x:v>RESTRUCTURE</x:v>
      </x:c>
    </x:row>
    <x:row r="7">
      <x:c r="A7" s="8" t="str">
        <x:v>Governance risk</x:v>
      </x:c>
      <x:c r="B7" s="54" t="n">
        <x:f>Governance!B11</x:f>
        <x:v>0</x:v>
      </x:c>
      <x:c r="C7" s="54" t="str">
        <x:f>IF(B7&gt;14,"КРАСНЫЙ",IF(B7&gt;=8,"ЖЁЛТЫЙ","OK"))</x:f>
        <x:v>OK</x:v>
      </x:c>
      <x:c r="D7" s="8" t="str"/>
      <x:c r="E7" s="8" t="str">
        <x:v>Minimum cash / OPEX</x:v>
      </x:c>
      <x:c r="F7" s="61" t="n">
        <x:f>Inputs!$B$17/Inputs!$B$7</x:f>
        <x:v>0.46153846153846156</x:v>
      </x:c>
      <x:c r="G7" s="54" t="str">
        <x:f>IF(F7&lt;0.5,"КРАСНЫЙ",IF(F7&lt;1,"ЖЁЛТЫЙ","OK"))</x:f>
        <x:v>КРАСНЫЙ</x:v>
      </x:c>
      <x:c r="H7" s="8" t="str"/>
      <x:c r="I7" s="8" t="str"/>
      <x:c r="J7" s="8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10">
      <x:c r="A10" s="15" t="str">
        <x:v>Неделя</x:v>
      </x:c>
      <x:c r="B10" s="15" t="str">
        <x:v>Ending cash</x:v>
      </x:c>
      <x:c r="C10" s="15" t="str">
        <x:v>Ниже minimum?</x:v>
      </x:c>
    </x:row>
    <x:row r="11">
      <x:c r="A11" t="str">
        <x:v>Неделя 1</x:v>
      </x:c>
      <x:c r="B11" s="34" t="n">
        <x:f>Cash13W!H4</x:f>
        <x:v>2301492.2721620183</x:v>
      </x:c>
      <x:c r="C11" s="36" t="str">
        <x:f>IF(B11&lt;Inputs!$B$17,"ДА","")</x:f>
      </x:c>
    </x:row>
    <x:row r="12">
      <x:c r="A12" t="str">
        <x:v>Неделя 2</x:v>
      </x:c>
      <x:c r="B12" s="34" t="n">
        <x:f>Cash13W!H5</x:f>
        <x:v>2102984.5443240367</x:v>
      </x:c>
      <x:c r="C12" s="36" t="str">
        <x:f>IF(B12&lt;Inputs!$B$17,"ДА","")</x:f>
      </x:c>
    </x:row>
    <x:row r="13">
      <x:c r="A13" t="str">
        <x:v>Неделя 3</x:v>
      </x:c>
      <x:c r="B13" s="34" t="n">
        <x:f>Cash13W!H6</x:f>
        <x:v>1904476.816486055</x:v>
      </x:c>
      <x:c r="C13" s="36" t="str">
        <x:f>IF(B13&lt;Inputs!$B$17,"ДА","")</x:f>
      </x:c>
    </x:row>
    <x:row r="14">
      <x:c r="A14" t="str">
        <x:v>Неделя 4</x:v>
      </x:c>
      <x:c r="B14" s="34" t="n">
        <x:f>Cash13W!H7</x:f>
        <x:v>1705969.0886480736</x:v>
      </x:c>
      <x:c r="C14" s="36" t="str">
        <x:f>IF(B14&lt;Inputs!$B$17,"ДА","")</x:f>
      </x:c>
    </x:row>
    <x:row r="15">
      <x:c r="A15" t="str">
        <x:v>Неделя 5</x:v>
      </x:c>
      <x:c r="B15" s="34" t="n">
        <x:f>Cash13W!H8</x:f>
        <x:v>1507461.360810092</x:v>
      </x:c>
      <x:c r="C15" s="36" t="str">
        <x:f>IF(B15&lt;Inputs!$B$17,"ДА","")</x:f>
      </x:c>
    </x:row>
    <x:row r="16">
      <x:c r="A16" t="str">
        <x:v>Неделя 6</x:v>
      </x:c>
      <x:c r="B16" s="34" t="n">
        <x:f>Cash13W!H9</x:f>
        <x:v>1308953.6329721103</x:v>
      </x:c>
      <x:c r="C16" s="36" t="str">
        <x:f>IF(B16&lt;Inputs!$B$17,"ДА","")</x:f>
      </x:c>
    </x:row>
    <x:row r="17">
      <x:c r="A17" t="str">
        <x:v>Неделя 7</x:v>
      </x:c>
      <x:c r="B17" s="34" t="n">
        <x:f>Cash13W!H10</x:f>
        <x:v>1110445.9051341286</x:v>
      </x:c>
      <x:c r="C17" s="36" t="str">
        <x:f>IF(B17&lt;Inputs!$B$17,"ДА","")</x:f>
        <x:v>ДА</x:v>
      </x:c>
    </x:row>
    <x:row r="18">
      <x:c r="A18" t="str">
        <x:v>Неделя 8</x:v>
      </x:c>
      <x:c r="B18" s="34" t="n">
        <x:f>Cash13W!H11</x:f>
        <x:v>911938.177296147</x:v>
      </x:c>
      <x:c r="C18" s="36" t="str">
        <x:f>IF(B18&lt;Inputs!$B$17,"ДА","")</x:f>
        <x:v>ДА</x:v>
      </x:c>
    </x:row>
    <x:row r="19">
      <x:c r="A19" t="str">
        <x:v>Неделя 9</x:v>
      </x:c>
      <x:c r="B19" s="34" t="n">
        <x:f>Cash13W!H12</x:f>
        <x:v>713430.4494581653</x:v>
      </x:c>
      <x:c r="C19" s="36" t="str">
        <x:f>IF(B19&lt;Inputs!$B$17,"ДА","")</x:f>
        <x:v>ДА</x:v>
      </x:c>
    </x:row>
    <x:row r="20">
      <x:c r="A20" t="str">
        <x:v>Неделя 10</x:v>
      </x:c>
      <x:c r="B20" s="34" t="n">
        <x:f>Cash13W!H13</x:f>
        <x:v>514922.72162018367</x:v>
      </x:c>
      <x:c r="C20" s="36" t="str">
        <x:f>IF(B20&lt;Inputs!$B$17,"ДА","")</x:f>
        <x:v>ДА</x:v>
      </x:c>
    </x:row>
    <x:row r="21">
      <x:c r="A21" t="str">
        <x:v>Неделя 11</x:v>
      </x:c>
      <x:c r="B21" s="34" t="n">
        <x:f>Cash13W!H14</x:f>
        <x:v>316414.993782202</x:v>
      </x:c>
      <x:c r="C21" s="36" t="str">
        <x:f>IF(B21&lt;Inputs!$B$17,"ДА","")</x:f>
        <x:v>ДА</x:v>
      </x:c>
    </x:row>
    <x:row r="22">
      <x:c r="A22" t="str">
        <x:v>Неделя 12</x:v>
      </x:c>
      <x:c r="B22" s="34" t="n">
        <x:f>Cash13W!H15</x:f>
        <x:v>117907.26594422033</x:v>
      </x:c>
      <x:c r="C22" s="36" t="str">
        <x:f>IF(B22&lt;Inputs!$B$17,"ДА","")</x:f>
        <x:v>ДА</x:v>
      </x:c>
    </x:row>
    <x:row r="23">
      <x:c r="A23" t="str">
        <x:v>Неделя 13</x:v>
      </x:c>
      <x:c r="B23" s="34" t="n">
        <x:f>Cash13W!H16</x:f>
        <x:v>-80600.46189376176</x:v>
      </x:c>
      <x:c r="C23" s="36" t="str">
        <x:f>IF(B23&lt;Inputs!$B$17,"ДА","")</x:f>
        <x:v>ДА</x:v>
      </x:c>
    </x:row>
  </x:sheetData>
  <x:mergeCells>
    <x:mergeCell ref="A1:J1"/>
  </x:mergeCells>
  <x:conditionalFormatting sqref="C4:C7">
    <x:cfRule type="expression" dxfId="3" priority="1">
      <x:formula>C4="КРАСНЫЙ"</x:formula>
    </x:cfRule>
    <x:cfRule type="expression" dxfId="4" priority="2">
      <x:formula>C4="ЖЁЛТЫЙ"</x:formula>
    </x:cfRule>
  </x:conditionalFormatting>
  <x:conditionalFormatting sqref="G4:G7">
    <x:cfRule type="expression" dxfId="5" priority="3">
      <x:formula>G4="КРАСНЫЙ"</x:formula>
    </x:cfRule>
    <x:cfRule type="expression" dxfId="6" priority="4">
      <x:formula>G4="ЖЁЛТЫЙ"</x:formula>
    </x:cfRule>
  </x:conditionalFormatting>
  <x:conditionalFormatting sqref="B11:B23">
    <x:cfRule type="dataBar" priority="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{C5593AA7-0028-5BEA-E3E0-8178783C1A47}</x14:id>
        </x:ext>
      </x:extLst>
    </x:cfRule>
  </x:conditionalFormatting>
  <x:conditionalFormatting sqref="C11:C23">
    <x:cfRule type="expression" dxfId="9" priority="6">
      <x:formula>C11="ДА"</x:formula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" id="{C5593AA7-0028-5BEA-E3E0-8178783C1A47}">
            <x14:dataBar gradient="1">
              <x14:cfvo type="min"/>
              <x14:cfvo type="max"/>
              <x14:fillColor rgb="FFA02B93"/>
            </x14:dataBar>
          </x14:cfRule>
          <xm:sqref>B11:B23</xm:sqref>
        </x14:conditionalFormatting>
      </x14:conditionalFormattings>
    </x:ext>
  </x:extLst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5" hidden="0" customWidth="1"/>
    <x:col min="3" max="3" width="70" hidden="0" customWidth="1"/>
  </x:cols>
  <x:sheetData>
    <x:row r="1" ht="28" customHeight="1">
      <x:c r="A1" s="4" t="str">
        <x:v>ИСТОЧНИКИ И ОГРАНИЧЕНИЯ</x:v>
      </x:c>
      <x:c r="B1" s="4"/>
      <x:c r="C1" s="4"/>
      <x:c r="D1" s="4"/>
      <x:c r="E1" s="4"/>
      <x:c r="F1" s="4"/>
      <x:c r="G1" s="4"/>
      <x:c r="H1" s="4"/>
    </x:row>
    <x:row r="3">
      <x:c r="A3" s="15" t="str">
        <x:v>Источник</x:v>
      </x:c>
      <x:c r="B3" s="15" t="str">
        <x:v>URL</x:v>
      </x:c>
      <x:c r="C3" s="15" t="str">
        <x:v>Что подтверждает</x:v>
      </x:c>
    </x:row>
    <x:row r="4">
      <x:c r="A4" s="8" t="str">
        <x:v>Коммерсантъ — 20.01.2015</x:v>
      </x:c>
      <x:c r="B4" s="8" t="str">
        <x:v>https://www.kommersant.ru/doc/2650275</x:v>
      </x:c>
      <x:c r="C4" s="8" t="str">
        <x:v>Продажи 2013/2014, инфраструктура, планы IPO</x:v>
      </x:c>
    </x:row>
    <x:row r="5">
      <x:c r="A5" s="8" t="str">
        <x:v>Коммерсантъ — 02.03.2016</x:v>
      </x:c>
      <x:c r="B5" s="8" t="str">
        <x:v>https://www.kommersant.ru/doc/2927958</x:v>
      </x:c>
      <x:c r="C5" s="8" t="str">
        <x:v>Продажи 2015, кредиторка, инвестиционные планы</x:v>
      </x:c>
    </x:row>
    <x:row r="6">
      <x:c r="A6" s="8" t="str">
        <x:v>Коммерсантъ — 27.05.2020</x:v>
      </x:c>
      <x:c r="B6" s="8" t="str">
        <x:v>https://www.kommersant.ru/doc/4357159</x:v>
      </x:c>
      <x:c r="C6" s="8" t="str">
        <x:v>Долги и банкротство ООО «Юлмаркет»</x:v>
      </x:c>
    </x:row>
    <x:row r="7">
      <x:c r="A7" s="8" t="str">
        <x:v>Коммерсантъ — 21.05.2024</x:v>
      </x:c>
      <x:c r="B7" s="8" t="str">
        <x:v>https://www.kommersant.ru/doc/6713536</x:v>
      </x:c>
      <x:c r="C7" s="8" t="str">
        <x:v>Завершение банкротства НАО «Юлмарт», ликвидация, 6,3 млрд ₽ реестра</x:v>
      </x:c>
    </x:row>
    <x:row r="8">
      <x:c r="A8" s="8" t="str">
        <x:v>Forbes — тег «Юлмарт»</x:v>
      </x:c>
      <x:c r="B8" s="8" t="str">
        <x:v>https://www.forbes.ru/tegi/yulmart?page=2</x:v>
      </x:c>
      <x:c r="C8" s="8" t="str">
        <x:v>Ретроспектива и история компании</x:v>
      </x:c>
    </x:row>
    <x:row r="9">
      <x:c r="A9" s="8" t="str">
        <x:v>Модель</x:v>
      </x:c>
      <x:c r="B9" s="8" t="str">
        <x:v>—</x:v>
      </x:c>
      <x:c r="C9" s="8" t="str">
        <x:v>Все вводы в Inputs — сценарные и должны быть заменены данными конкретного бизнеса. Пороговые значения — управленческие ориентиры, а не нормативы.</x:v>
      </x:c>
    </x:row>
  </x:sheetData>
  <x:mergeCells>
    <x:mergeCell ref="A1:H1"/>
  </x:mergeCells>
  <x:pageMargins left="0.7" right="0.7" top="0.75" bottom="0.75" header="0.3" footer="0.3"/>
</x:worksheet>
</file>