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f3ec31d19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654b79683e14576"/>
    <x:sheet xmlns:r="http://schemas.openxmlformats.org/officeDocument/2006/relationships" name="FACTS" sheetId="2" r:id="R6a4021e1197e4577"/>
    <x:sheet xmlns:r="http://schemas.openxmlformats.org/officeDocument/2006/relationships" name="INPUTS" sheetId="3" r:id="Rda6951ef51674643"/>
    <x:sheet xmlns:r="http://schemas.openxmlformats.org/officeDocument/2006/relationships" name="UNIT_TEST" sheetId="4" r:id="R23530fa5bb2e46af"/>
    <x:sheet xmlns:r="http://schemas.openxmlformats.org/officeDocument/2006/relationships" name="SCENARIOS" sheetId="5" r:id="Rf4a830bf4bb64be6"/>
    <x:sheet xmlns:r="http://schemas.openxmlformats.org/officeDocument/2006/relationships" name="PNL_12M" sheetId="6" r:id="R1846694ea7a34c16"/>
    <x:sheet xmlns:r="http://schemas.openxmlformats.org/officeDocument/2006/relationships" name="CASHFLOW_12M" sheetId="7" r:id="Rdbce4d1855c342df"/>
    <x:sheet xmlns:r="http://schemas.openxmlformats.org/officeDocument/2006/relationships" name="CAPACITY" sheetId="8" r:id="R6260257909804812"/>
    <x:sheet xmlns:r="http://schemas.openxmlformats.org/officeDocument/2006/relationships" name="LOCATION_GATE" sheetId="9" r:id="Rfdf57fe7e8064e6f"/>
    <x:sheet xmlns:r="http://schemas.openxmlformats.org/officeDocument/2006/relationships" name="ASSORTMENT_WASTE" sheetId="10" r:id="Reafeca7912e64f0d"/>
    <x:sheet xmlns:r="http://schemas.openxmlformats.org/officeDocument/2006/relationships" name="SUPPLIER_QA" sheetId="11" r:id="R6fb7abad6be94aaa"/>
    <x:sheet xmlns:r="http://schemas.openxmlformats.org/officeDocument/2006/relationships" name="KPI_BENCHMARK" sheetId="12" r:id="R0f71d7bac707409f"/>
    <x:sheet xmlns:r="http://schemas.openxmlformats.org/officeDocument/2006/relationships" name="COPY_MATRIX" sheetId="13" r:id="R92a0a6a8fee14b0f"/>
    <x:sheet xmlns:r="http://schemas.openxmlformats.org/officeDocument/2006/relationships" name="SOURCES" sheetId="14" r:id="R6392fd2546674f5c"/>
    <x:sheet xmlns:r="http://schemas.openxmlformats.org/officeDocument/2006/relationships" name="DASHBOARD" sheetId="15" r:id="R646b0709fff542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;[Red](#,##0);-"/>
    <x:numFmt numFmtId="202" formatCode="0.0%;[Red](0.0%);-"/>
    <x:numFmt numFmtId="203" formatCode="#,##0.0;[Red](#,##0.0);-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238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008000"/>
      <x:name val="Carlito"/>
    </x:font>
    <x:font>
      <x:b/>
      <x:sz val="14"/>
      <x:color rgb="FF10223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FF2CC"/>
      </x:patternFill>
    </x:fill>
    <x:fill>
      <x:patternFill patternType="solid">
        <x:fgColor rgb="FFF2F5F8"/>
      </x:patternFill>
    </x:fill>
    <x:fill>
      <x:patternFill patternType="solid">
        <x:fgColor rgb="FFF7F3EB"/>
      </x:patternFill>
    </x:fill>
    <x:fill>
      <x:patternFill patternType="solid">
        <x:fgColor rgb="FFFFF6DB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4" fillId="3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203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3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1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1" fontId="5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1" fontId="5" fillId="5" borderId="0" xfId="0" applyNumberFormat="1" applyFont="1" applyFill="1" applyBorder="1" applyAlignment="1">
      <x:alignment wrapText="1"/>
    </x:xf>
    <x:xf numFmtId="202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1" fontId="5" fillId="5" borderId="1" xfId="0" applyNumberFormat="1" applyFont="1" applyFill="1" applyBorder="1" applyAlignment="1">
      <x:alignment wrapText="1"/>
    </x:xf>
    <x:xf numFmtId="202" fontId="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201" fontId="5" fillId="6" borderId="0" xfId="0" applyNumberFormat="1" applyFont="1" applyFill="1" applyBorder="1" applyAlignment="1">
      <x:alignment wrapText="1"/>
    </x:xf>
    <x:xf numFmtId="202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1" fontId="5" fillId="6" borderId="1" xfId="0" applyNumberFormat="1" applyFont="1" applyFill="1" applyBorder="1" applyAlignment="1">
      <x:alignment wrapText="1"/>
    </x:xf>
    <x:xf numFmtId="202" fontId="5" fillId="6" borderId="1" xfId="0" applyNumberFormat="1" applyFont="1" applyFill="1" applyBorder="1" applyAlignment="1">
      <x:alignment wrapText="1"/>
    </x:xf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4" fillId="0" borderId="0" xfId="0" applyNumberFormat="1" applyFont="1" applyFill="1" applyBorder="1"/>
    <x:xf numFmtId="203" fontId="4" fillId="0" borderId="1" xfId="0" applyNumberFormat="1" applyFont="1" applyFill="1" applyBorder="1"/>
    <x:xf numFmtId="203" fontId="4" fillId="0" borderId="0" xfId="0" applyNumberFormat="1" applyFont="1" applyFill="1" applyBorder="1" applyAlignment="1">
      <x:alignment wrapText="1"/>
    </x:xf>
    <x:xf numFmtId="203" fontId="4" fillId="0" borderId="1" xfId="0" applyNumberFormat="1" applyFont="1" applyFill="1" applyBorder="1" applyAlignment="1">
      <x:alignment wrapText="1"/>
    </x:xf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2" fontId="6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053c5b84d45f2" /><Relationship Type="http://schemas.openxmlformats.org/officeDocument/2006/relationships/theme" Target="/xl/theme/theme1.xml" Id="R866c7510d7f842d4" /><Relationship Type="http://schemas.openxmlformats.org/officeDocument/2006/relationships/sharedStrings" Target="/xl/sharedStrings.xml" Id="R7b2f792131c74b14" /><Relationship Type="http://schemas.openxmlformats.org/officeDocument/2006/relationships/worksheet" Target="/xl/worksheets/sheet1.xml" Id="R4654b79683e14576" /><Relationship Type="http://schemas.openxmlformats.org/officeDocument/2006/relationships/worksheet" Target="/xl/worksheets/sheet2.xml" Id="R6a4021e1197e4577" /><Relationship Type="http://schemas.openxmlformats.org/officeDocument/2006/relationships/worksheet" Target="/xl/worksheets/sheet3.xml" Id="Rda6951ef51674643" /><Relationship Type="http://schemas.openxmlformats.org/officeDocument/2006/relationships/worksheet" Target="/xl/worksheets/sheet4.xml" Id="R23530fa5bb2e46af" /><Relationship Type="http://schemas.openxmlformats.org/officeDocument/2006/relationships/worksheet" Target="/xl/worksheets/sheet5.xml" Id="Rf4a830bf4bb64be6" /><Relationship Type="http://schemas.openxmlformats.org/officeDocument/2006/relationships/worksheet" Target="/xl/worksheets/sheet6.xml" Id="R1846694ea7a34c16" /><Relationship Type="http://schemas.openxmlformats.org/officeDocument/2006/relationships/worksheet" Target="/xl/worksheets/sheet7.xml" Id="Rdbce4d1855c342df" /><Relationship Type="http://schemas.openxmlformats.org/officeDocument/2006/relationships/worksheet" Target="/xl/worksheets/sheet8.xml" Id="R6260257909804812" /><Relationship Type="http://schemas.openxmlformats.org/officeDocument/2006/relationships/worksheet" Target="/xl/worksheets/sheet9.xml" Id="Rfdf57fe7e8064e6f" /><Relationship Type="http://schemas.openxmlformats.org/officeDocument/2006/relationships/worksheet" Target="/xl/worksheets/sheet10.xml" Id="Reafeca7912e64f0d" /><Relationship Type="http://schemas.openxmlformats.org/officeDocument/2006/relationships/worksheet" Target="/xl/worksheets/sheet11.xml" Id="R6fb7abad6be94aaa" /><Relationship Type="http://schemas.openxmlformats.org/officeDocument/2006/relationships/worksheet" Target="/xl/worksheets/sheet12.xml" Id="R0f71d7bac707409f" /><Relationship Type="http://schemas.openxmlformats.org/officeDocument/2006/relationships/worksheet" Target="/xl/worksheets/sheet13.xml" Id="R92a0a6a8fee14b0f" /><Relationship Type="http://schemas.openxmlformats.org/officeDocument/2006/relationships/worksheet" Target="/xl/worksheets/sheet14.xml" Id="R6392fd2546674f5c" /><Relationship Type="http://schemas.openxmlformats.org/officeDocument/2006/relationships/worksheet" Target="/xl/worksheets/sheet15.xml" Id="R646b0709fff542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79c9592bc414c5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Остаток денег по месяцам</a:t>
            </a:r>
          </a:p>
        </c:rich>
      </c:tx>
    </c:title>
    <c:plotArea>
      <c:lineChart>
        <c:grouping val="standard"/>
        <c:ser>
          <c:idx val="0"/>
          <c:order val="0"/>
          <c:tx>
            <c:v>Остаток денег</c:v>
          </c:tx>
          <c:marker>
            <c:symbol val="none"/>
          </c:marker>
          <c:cat>
            <c:strRef>
              <c:f>'DASHBOARD'!$G$4:$G$15</c:f>
              <c:strCache>
                <c:ptCount val="0"/>
              </c:strCache>
            </c:strRef>
          </c:cat>
          <c:val>
            <c:numRef>
              <c:f>'DASHBOARD'!$H$4:$H$15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6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9c9592bc414c5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.xml" Id="Recb56f89e8924b56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28" customHeight="1">
      <x:c r="A1" s="5" t="str">
        <x:v>ЖИЗНЬМАРТ — BENCHMARK И ПРОВЕРКА ТОЧКИ ГОТОВОЙ ЕДЫ</x:v>
      </x:c>
    </x:row>
    <x:row r="3">
      <x:c r="A3" s="12" t="str">
        <x:v>Назначение</x:v>
      </x:c>
      <x:c r="B3" s="13" t="str">
        <x:v>Независимый инструмент для проверки одной розничной точки. Это НЕ финансовая модель франшизы «Жизньмарт» и не обещание доходности.</x:v>
      </x:c>
    </x:row>
    <x:row r="4">
      <x:c r="A4" s="12" t="str">
        <x:v>Как работать</x:v>
      </x:c>
      <x:c r="B4" s="13" t="str">
        <x:v>1) INPUTS → 2) UNIT_TEST → 3) SCENARIOS → 4) PNL_12M/CASHFLOW_12M → 5) CAPACITY → 6) LOCATION_GATE → 7) ASSORTMENT_WASTE → 8) SUPPLIER_QA → 9) DASHBOARD.</x:v>
      </x:c>
    </x:row>
    <x:row r="5">
      <x:c r="A5" s="12" t="str">
        <x:v>Синие значения</x:v>
      </x:c>
      <x:c r="B5" s="13" t="str">
        <x:v>Пользовательские вводы и сценарные допущения. Замените фактическими данными.</x:v>
      </x:c>
    </x:row>
    <x:row r="6">
      <x:c r="A6" s="12" t="str">
        <x:v>Зелёные значения</x:v>
      </x:c>
      <x:c r="B6" s="13" t="str">
        <x:v>Межлистовые ссылки.</x:v>
      </x:c>
    </x:row>
    <x:row r="7">
      <x:c r="A7" s="12" t="str">
        <x:v>Чёрные значения</x:v>
      </x:c>
      <x:c r="B7" s="13" t="str">
        <x:v>Формулы.</x:v>
      </x:c>
    </x:row>
    <x:row r="8">
      <x:c r="A8" s="12" t="str">
        <x:v>Налоги</x:v>
      </x:c>
      <x:c r="B8" s="13" t="str">
        <x:v>Лист не определяет ваш налоговый режим. В INPUTS используется отдельный «резерв на налоги/НДС» как сценарный расход. Перед решением замените его своей фактической схемой.</x:v>
      </x:c>
    </x:row>
    <x:row r="9">
      <x:c r="A9" s="12" t="str">
        <x:v>Факты Жизньмарт</x:v>
      </x:c>
      <x:c r="B9" s="13" t="str">
        <x:v>FACTS и SOURCES — справочная часть. Официальные цифры сети не подставляются автоматически в вашу экономику.</x:v>
      </x:c>
    </x:row>
    <x:row r="10">
      <x:c r="A10" s="12" t="str">
        <x:v>Вердикт</x:v>
      </x:c>
      <x:c r="B10" s="13" t="str">
        <x:v>GO / TEST / NO-GO — внутренний фильтр модели, а не рекомендация купить франшизу.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0" hidden="0" customWidth="1"/>
    <x:col min="4" max="4" width="16" hidden="0" customWidth="1"/>
    <x:col min="5" max="5" width="42" hidden="0" customWidth="1"/>
    <x:col min="6" max="6" width="48" hidden="0" customWidth="1"/>
  </x:cols>
  <x:sheetData>
    <x:row r="1" ht="28" customHeight="1">
      <x:c r="A1" s="5" t="str">
        <x:v>ЖИЗНЬМАРТ — ПОДТВЕРЖДЁННЫЕ ФАКТЫ И ЗАЯВЛЕНИЯ</x:v>
      </x:c>
    </x:row>
    <x:row r="3">
      <x:c r="A3" s="19" t="str">
        <x:v>Показатель</x:v>
      </x:c>
      <x:c r="B3" s="19" t="str">
        <x:v>Значение</x:v>
      </x:c>
      <x:c r="C3" s="19" t="str">
        <x:v>Статус</x:v>
      </x:c>
      <x:c r="D3" s="19" t="str">
        <x:v>Дата/период</x:v>
      </x:c>
      <x:c r="E3" s="19" t="str">
        <x:v>Комментарий</x:v>
      </x:c>
      <x:c r="F3" s="19" t="str">
        <x:v>Источник</x:v>
      </x:c>
    </x:row>
    <x:row r="4">
      <x:c r="A4" s="13" t="str">
        <x:v>Франчайзинговые магазины</x:v>
      </x:c>
      <x:c r="B4" s="13" t="str">
        <x:v>253</x:v>
      </x:c>
      <x:c r="C4" s="13" t="str">
        <x:v>Заявление сети</x:v>
      </x:c>
      <x:c r="D4" s="13" t="str">
        <x:v>24.08.2026</x:v>
      </x:c>
      <x:c r="E4" s="13" t="str">
        <x:v>132 больших + 121 мини</x:v>
      </x:c>
      <x:c r="F4" s="13" t="str">
        <x:v>https://fr.lifemart.ru/</x:v>
      </x:c>
    </x:row>
    <x:row r="5">
      <x:c r="A5" s="13" t="str">
        <x:v>Большой формат</x:v>
      </x:c>
      <x:c r="B5" s="13" t="str">
        <x:v>100–200 м²; от 15 млн ₽; роялти 4%; окупаемость от 40 мес.</x:v>
      </x:c>
      <x:c r="C5" s="13" t="str">
        <x:v>Заявление сети</x:v>
      </x:c>
      <x:c r="D5" s="13" t="str">
        <x:v>24.08.2026</x:v>
      </x:c>
      <x:c r="E5" s="13" t="str">
        <x:v>Не гарантия результата</x:v>
      </x:c>
      <x:c r="F5" s="13" t="str">
        <x:v>https://fr.lifemart.ru/</x:v>
      </x:c>
    </x:row>
    <x:row r="6">
      <x:c r="A6" s="13" t="str">
        <x:v>Мини</x:v>
      </x:c>
      <x:c r="B6" s="13" t="str">
        <x:v>40–80 м²; от 8 млн ₽; роялти 4,5%; окупаемость от 31 мес.</x:v>
      </x:c>
      <x:c r="C6" s="13" t="str">
        <x:v>Заявление сети</x:v>
      </x:c>
      <x:c r="D6" s="13" t="str">
        <x:v>24.08.2026</x:v>
      </x:c>
      <x:c r="E6" s="13" t="str">
        <x:v>Не гарантия результата</x:v>
      </x:c>
      <x:c r="F6" s="13" t="str">
        <x:v>https://fr.lifemart.ru/</x:v>
      </x:c>
    </x:row>
    <x:row r="7">
      <x:c r="A7" s="13" t="str">
        <x:v>FAQ: средняя окупаемость</x:v>
      </x:c>
      <x:c r="B7" s="13" t="str">
        <x:v>от 36 мес.</x:v>
      </x:c>
      <x:c r="C7" s="13" t="str">
        <x:v>Заявление сети</x:v>
      </x:c>
      <x:c r="D7" s="13" t="str">
        <x:v>24.08.2026</x:v>
      </x:c>
      <x:c r="E7" s="13" t="str">
        <x:v>Отличается от ориентиров по форматам</x:v>
      </x:c>
      <x:c r="F7" s="13" t="str">
        <x:v>https://fr.lifemart.ru/</x:v>
      </x:c>
    </x:row>
    <x:row r="8">
      <x:c r="A8" s="13" t="str">
        <x:v>Ассортимент</x:v>
      </x:c>
      <x:c r="B8" s="13" t="str">
        <x:v>&gt;2 000 товаров; &gt;95%/97% СТМ</x:v>
      </x:c>
      <x:c r="C8" s="13" t="str">
        <x:v>Заявление сети</x:v>
      </x:c>
      <x:c r="D8" s="13" t="str">
        <x:v>24.08.2026</x:v>
      </x:c>
      <x:c r="E8" s="13" t="str">
        <x:v>На одной странице указаны обе формулировки</x:v>
      </x:c>
      <x:c r="F8" s="13" t="str">
        <x:v>https://fr.lifemart.ru/</x:v>
      </x:c>
    </x:row>
    <x:row r="9">
      <x:c r="A9" s="13" t="str">
        <x:v>Готовые блюда</x:v>
      </x:c>
      <x:c r="B9" s="13" t="str">
        <x:v>&gt;200 вариантов в день</x:v>
      </x:c>
      <x:c r="C9" s="13" t="str">
        <x:v>Заявление сети</x:v>
      </x:c>
      <x:c r="D9" s="13" t="str">
        <x:v>24.08.2026</x:v>
      </x:c>
      <x:c r="E9" s="13" t="str">
        <x:v>Фабрика кухни</x:v>
      </x:c>
      <x:c r="F9" s="13" t="str">
        <x:v>https://fr.lifemart.ru/</x:v>
      </x:c>
    </x:row>
    <x:row r="10">
      <x:c r="A10" s="13" t="str">
        <x:v>Сокращение сети в 2025</x:v>
      </x:c>
      <x:c r="B10" s="13" t="str">
        <x:v>-22% до 280</x:v>
      </x:c>
      <x:c r="C10" s="13" t="str">
        <x:v>Оценка INFOLine</x:v>
      </x:c>
      <x:c r="D10" s="13" t="str">
        <x:v>2025</x:v>
      </x:c>
      <x:c r="E10" s="13" t="str">
        <x:v>Методика отличается от счётчика сети</x:v>
      </x:c>
      <x:c r="F10" s="13" t="str">
        <x:v>https://www.forbes.ru/franchises/559869-retejler-zizn-mart-vosstanavlivaet-francajzingovuu-set</x:v>
      </x:c>
    </x:row>
    <x:row r="11">
      <x:c r="A11" s="13" t="str">
        <x:v>Выручка сети 2025</x:v>
      </x:c>
      <x:c r="B11" s="13" t="str">
        <x:v>8,17 млрд ₽</x:v>
      </x:c>
      <x:c r="C11" s="13" t="str">
        <x:v>Оценка INFOLine</x:v>
      </x:c>
      <x:c r="D11" s="13" t="str">
        <x:v>2025</x:v>
      </x:c>
      <x:c r="E11" s="13" t="str">
        <x:v>Не смешивать с оценкой компании</x:v>
      </x:c>
      <x:c r="F11" s="13" t="str">
        <x:v>https://www.forbes.ru/franchises/559869-retejler-zizn-mart-vosstanavlivaet-francajzingovuu-set</x:v>
      </x:c>
    </x:row>
    <x:row r="12">
      <x:c r="A12" s="13" t="str">
        <x:v>Оценка выручки сети 2025</x:v>
      </x:c>
      <x:c r="B12" s="13" t="str">
        <x:v>12,8 млрд ₽</x:v>
      </x:c>
      <x:c r="C12" s="13" t="str">
        <x:v>Заявление компании</x:v>
      </x:c>
      <x:c r="D12" s="13" t="str">
        <x:v>2025</x:v>
      </x:c>
      <x:c r="E12" s="13" t="str">
        <x:v>Другая методика</x:v>
      </x:c>
      <x:c r="F12" s="13" t="str">
        <x:v>https://www.forbes.ru/franchises/559869-retejler-zizn-mart-vosstanavlivaet-francajzingovuu-set</x:v>
      </x:c>
    </x:row>
    <x:row r="13">
      <x:c r="A13" s="13" t="str">
        <x:v>Новосибирск</x:v>
      </x:c>
      <x:c r="B13" s="13" t="str">
        <x:v>17 открытых точек при плане ≥40</x:v>
      </x:c>
      <x:c r="C13" s="13" t="str">
        <x:v>РБК / компания</x:v>
      </x:c>
      <x:c r="D13" s="13" t="str">
        <x:v>2023–2025</x:v>
      </x:c>
      <x:c r="E13" s="13" t="str">
        <x:v>11 больших + 6 мини; затем сворачивание большинства присутствия</x:v>
      </x:c>
      <x:c r="F13" s="13" t="str">
        <x:v>https://ekb.rbc.ru/ekb/freenews/67fcd9489a794723048c3cb1</x:v>
      </x:c>
    </x:row>
    <x:row r="14">
      <x:c r="A14" s="13" t="str">
        <x:v>Санкт-Петербург</x:v>
      </x:c>
      <x:c r="B14" s="13" t="str">
        <x:v>Последняя точка закрыта 19.06.2026</x:v>
      </x:c>
      <x:c r="C14" s="13" t="str">
        <x:v>Retail.ru</x:v>
      </x:c>
      <x:c r="D14" s="13" t="str">
        <x:v>2026</x:v>
      </x:c>
      <x:c r="E14" s="13" t="str">
        <x:v>На пике около 10 точек</x:v>
      </x:c>
      <x:c r="F14" s="13" t="str">
        <x:v>https://www.retail.ru/news/set-zhiznmart-zakryvaet-posledniy-magazin-v-peterburge-19-iyunya-2026-279012/</x:v>
      </x:c>
    </x:row>
    <x:row r="15">
      <x:c r="A15" s="13" t="str">
        <x:v>Челябинск</x:v>
      </x:c>
      <x:c r="B15" s="13" t="str">
        <x:v>12 точек вышли из франшизы; 6 перезапущены к апрелю 2026</x:v>
      </x:c>
      <x:c r="C15" s="13" t="str">
        <x:v>Forbes</x:v>
      </x:c>
      <x:c r="D15" s="13" t="str">
        <x:v>2025–2026</x:v>
      </x:c>
      <x:c r="E15" s="13" t="str">
        <x:v>Показывает зависимость сети и партнёра</x:v>
      </x:c>
      <x:c r="F15" s="13" t="str">
        <x:v>https://www.forbes.ru/franchises/559869-retejler-zizn-mart-vosstanavlivaet-francajzingovuu-set</x:v>
      </x:c>
    </x:row>
    <x:row r="16">
      <x:c r="A16" s="13" t="str">
        <x:v>Инцидент готовой еды</x:v>
      </x:c>
      <x:c r="B16" s="13" t="str">
        <x:v>18 обращений по ОКИ</x:v>
      </x:c>
      <x:c r="C16" s="13" t="str">
        <x:v>Роспотребнадзор через РБК</x:v>
      </x:c>
      <x:c r="D16" s="13" t="str">
        <x:v>май 2024</x:v>
      </x:c>
      <x:c r="E16" s="13" t="str">
        <x:v>Риск цепочки поставок, а не вывод о всей сети</x:v>
      </x:c>
      <x:c r="F16" s="13" t="str">
        <x:v>https://ekb.rbc.ru/ekb/freenews/6658174c9a79475f4c91b4ec</x:v>
      </x:c>
    </x:row>
    <x:row r="17">
      <x:c r="A17" s="13"/>
      <x:c r="B17" s="13"/>
      <x:c r="C17" s="13"/>
      <x:c r="D17" s="13"/>
      <x:c r="E17" s="13"/>
      <x:c r="F17" s="13"/>
    </x:row>
    <x:row r="18">
      <x:c r="A18" s="13"/>
      <x:c r="B18" s="13"/>
      <x:c r="C18" s="13"/>
      <x:c r="D18" s="13"/>
      <x:c r="E18" s="13"/>
      <x:c r="F18" s="13"/>
    </x:row>
    <x:row r="19">
      <x:c r="A19" s="13"/>
      <x:c r="B19" s="13"/>
      <x:c r="C19" s="13"/>
      <x:c r="D19" s="13"/>
      <x:c r="E19" s="13"/>
      <x:c r="F19" s="13"/>
    </x:row>
    <x:row r="20">
      <x:c r="A20" s="13"/>
      <x:c r="B20" s="13"/>
      <x:c r="C20" s="13"/>
      <x:c r="D20" s="13"/>
      <x:c r="E20" s="13"/>
      <x:c r="F20" s="13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4" hidden="0" customWidth="1"/>
    <x:col min="5" max="5" width="48" hidden="0" customWidth="1"/>
  </x:cols>
  <x:sheetData>
    <x:row r="1" ht="28" customHeight="1">
      <x:c r="A1" s="5" t="str">
        <x:v>INPUTS — ЗАМЕНИТЕ СИНИЕ ЗНАЧЕНИЯ ФАКТИЧЕСКИМИ ДАННЫМИ</x:v>
      </x:c>
    </x:row>
    <x:row r="3">
      <x:c r="A3" s="19" t="str">
        <x:v>Параметр</x:v>
      </x:c>
      <x:c r="B3" s="19" t="str">
        <x:v>Значение</x:v>
      </x:c>
      <x:c r="C3" s="19" t="str">
        <x:v>Ед.</x:v>
      </x:c>
      <x:c r="D3" s="19" t="str">
        <x:v>Тип</x:v>
      </x:c>
      <x:c r="E3" s="19" t="str">
        <x:v>Комментарий</x:v>
      </x:c>
    </x:row>
    <x:row r="4">
      <x:c r="A4" s="13" t="str">
        <x:v>Целевой трафик в день</x:v>
      </x:c>
      <x:c r="B4" s="30" t="n">
        <x:v>550</x:v>
      </x:c>
      <x:c r="C4" s="13" t="str">
        <x:v>чел./день</x:v>
      </x:c>
      <x:c r="D4" s="13" t="str">
        <x:v>Ввод</x:v>
      </x:c>
      <x:c r="E4" s="13" t="str">
        <x:v>Сценарное значение — измерьте по часам</x:v>
      </x:c>
    </x:row>
    <x:row r="5">
      <x:c r="A5" s="13" t="str">
        <x:v>Конверсия в покупку</x:v>
      </x:c>
      <x:c r="B5" s="31" t="n">
        <x:v>0.3</x:v>
      </x:c>
      <x:c r="C5" s="13" t="str">
        <x:v>%</x:v>
      </x:c>
      <x:c r="D5" s="13" t="str">
        <x:v>Ввод</x:v>
      </x:c>
      <x:c r="E5" s="13" t="str">
        <x:v>Сценарно</x:v>
      </x:c>
    </x:row>
    <x:row r="6">
      <x:c r="A6" s="13" t="str">
        <x:v>Средний чек офлайн</x:v>
      </x:c>
      <x:c r="B6" s="32" t="n">
        <x:v>550</x:v>
      </x:c>
      <x:c r="C6" s="13" t="str">
        <x:v>₽/чек</x:v>
      </x:c>
      <x:c r="D6" s="13" t="str">
        <x:v>Ввод</x:v>
      </x:c>
      <x:c r="E6" s="13" t="str">
        <x:v>Сценарно</x:v>
      </x:c>
    </x:row>
    <x:row r="7">
      <x:c r="A7" s="13" t="str">
        <x:v>Доставка — заказов в день</x:v>
      </x:c>
      <x:c r="B7" s="30" t="n">
        <x:v>18</x:v>
      </x:c>
      <x:c r="C7" s="13" t="str">
        <x:v>заказов/день</x:v>
      </x:c>
      <x:c r="D7" s="13" t="str">
        <x:v>Ввод</x:v>
      </x:c>
      <x:c r="E7" s="13" t="str">
        <x:v>Сценарно</x:v>
      </x:c>
    </x:row>
    <x:row r="8">
      <x:c r="A8" s="13" t="str">
        <x:v>Средний чек доставки</x:v>
      </x:c>
      <x:c r="B8" s="32" t="n">
        <x:v>750</x:v>
      </x:c>
      <x:c r="C8" s="13" t="str">
        <x:v>₽/заказ</x:v>
      </x:c>
      <x:c r="D8" s="13" t="str">
        <x:v>Ввод</x:v>
      </x:c>
      <x:c r="E8" s="13" t="str">
        <x:v>Сценарно</x:v>
      </x:c>
    </x:row>
    <x:row r="9">
      <x:c r="A9" s="13" t="str">
        <x:v>Рабочих дней в месяц</x:v>
      </x:c>
      <x:c r="B9" s="30" t="n">
        <x:v>30</x:v>
      </x:c>
      <x:c r="C9" s="13" t="str">
        <x:v>дней</x:v>
      </x:c>
      <x:c r="D9" s="13" t="str">
        <x:v>Ввод</x:v>
      </x:c>
      <x:c r="E9" s="13" t="str">
        <x:v>Замените своим режимом</x:v>
      </x:c>
    </x:row>
    <x:row r="10">
      <x:c r="A10" s="13" t="str">
        <x:v>Закупочная себестоимость</x:v>
      </x:c>
      <x:c r="B10" s="31" t="n">
        <x:v>0.52</x:v>
      </x:c>
      <x:c r="C10" s="13" t="str">
        <x:v>% выручки</x:v>
      </x:c>
      <x:c r="D10" s="13" t="str">
        <x:v>Ввод</x:v>
      </x:c>
      <x:c r="E10" s="13" t="str">
        <x:v>Сценарно</x:v>
      </x:c>
    </x:row>
    <x:row r="11">
      <x:c r="A11" s="13" t="str">
        <x:v>Списания</x:v>
      </x:c>
      <x:c r="B11" s="31" t="n">
        <x:v>0.04</x:v>
      </x:c>
      <x:c r="C11" s="13" t="str">
        <x:v>% выручки</x:v>
      </x:c>
      <x:c r="D11" s="13" t="str">
        <x:v>Ввод</x:v>
      </x:c>
      <x:c r="E11" s="13" t="str">
        <x:v>Сценарно</x:v>
      </x:c>
    </x:row>
    <x:row r="12">
      <x:c r="A12" s="13" t="str">
        <x:v>Эквайринг</x:v>
      </x:c>
      <x:c r="B12" s="31" t="n">
        <x:v>0.017</x:v>
      </x:c>
      <x:c r="C12" s="13" t="str">
        <x:v>% выручки</x:v>
      </x:c>
      <x:c r="D12" s="13" t="str">
        <x:v>Ввод</x:v>
      </x:c>
      <x:c r="E12" s="13" t="str">
        <x:v>Сценарно</x:v>
      </x:c>
    </x:row>
    <x:row r="13">
      <x:c r="A13" s="13" t="str">
        <x:v>Переменные расходы доставки</x:v>
      </x:c>
      <x:c r="B13" s="31" t="n">
        <x:v>0.08</x:v>
      </x:c>
      <x:c r="C13" s="13" t="str">
        <x:v>% доставки</x:v>
      </x:c>
      <x:c r="D13" s="13" t="str">
        <x:v>Ввод</x:v>
      </x:c>
      <x:c r="E13" s="13" t="str">
        <x:v>Сценарно</x:v>
      </x:c>
    </x:row>
    <x:row r="14">
      <x:c r="A14" s="13" t="str">
        <x:v>Роялти / сетевой сбор</x:v>
      </x:c>
      <x:c r="B14" s="31" t="n">
        <x:v>0</x:v>
      </x:c>
      <x:c r="C14" s="13" t="str">
        <x:v>% выручки</x:v>
      </x:c>
      <x:c r="D14" s="13" t="str">
        <x:v>Ввод</x:v>
      </x:c>
      <x:c r="E14" s="13" t="str">
        <x:v>0% для независимой точки; укажите свой договор</x:v>
      </x:c>
    </x:row>
    <x:row r="15">
      <x:c r="A15" s="13" t="str">
        <x:v>Резерв на налоги/НДС</x:v>
      </x:c>
      <x:c r="B15" s="36" t="n">
        <x:v>0.05</x:v>
      </x:c>
      <x:c r="C15" s="13" t="str">
        <x:v>% выручки</x:v>
      </x:c>
      <x:c r="D15" s="13" t="str">
        <x:v>Ввод</x:v>
      </x:c>
      <x:c r="E15" s="13" t="str">
        <x:v>НЕ налоговая консультация; замените фактической нагрузкой</x:v>
      </x:c>
    </x:row>
    <x:row r="16">
      <x:c r="A16" s="13" t="str">
        <x:v>ФОТ с начислениями</x:v>
      </x:c>
      <x:c r="B16" s="32" t="n">
        <x:v>520000</x:v>
      </x:c>
      <x:c r="C16" s="13" t="str">
        <x:v>₽/мес.</x:v>
      </x:c>
      <x:c r="D16" s="13" t="str">
        <x:v>Ввод</x:v>
      </x:c>
      <x:c r="E16" s="13" t="str">
        <x:v>Сценарно</x:v>
      </x:c>
    </x:row>
    <x:row r="17">
      <x:c r="A17" s="13" t="str">
        <x:v>Аренда + эксплуатация</x:v>
      </x:c>
      <x:c r="B17" s="32" t="n">
        <x:v>260000</x:v>
      </x:c>
      <x:c r="C17" s="13" t="str">
        <x:v>₽/мес.</x:v>
      </x:c>
      <x:c r="D17" s="13" t="str">
        <x:v>Ввод</x:v>
      </x:c>
      <x:c r="E17" s="13" t="str">
        <x:v>Только фактическое предложение</x:v>
      </x:c>
    </x:row>
    <x:row r="18">
      <x:c r="A18" s="13" t="str">
        <x:v>Коммунальные и связь</x:v>
      </x:c>
      <x:c r="B18" s="32" t="n">
        <x:v>65000</x:v>
      </x:c>
      <x:c r="C18" s="13" t="str">
        <x:v>₽/мес.</x:v>
      </x:c>
      <x:c r="D18" s="13" t="str">
        <x:v>Ввод</x:v>
      </x:c>
      <x:c r="E18" s="13" t="str">
        <x:v>Сценарно</x:v>
      </x:c>
    </x:row>
    <x:row r="19">
      <x:c r="A19" s="13" t="str">
        <x:v>IT / ПО / поддержка</x:v>
      </x:c>
      <x:c r="B19" s="32" t="n">
        <x:v>30000</x:v>
      </x:c>
      <x:c r="C19" s="13" t="str">
        <x:v>₽/мес.</x:v>
      </x:c>
      <x:c r="D19" s="13" t="str">
        <x:v>Ввод</x:v>
      </x:c>
      <x:c r="E19" s="13" t="str">
        <x:v>Сценарно</x:v>
      </x:c>
    </x:row>
    <x:row r="20">
      <x:c r="A20" s="13" t="str">
        <x:v>Маркетинг</x:v>
      </x:c>
      <x:c r="B20" s="32" t="n">
        <x:v>50000</x:v>
      </x:c>
      <x:c r="C20" s="13" t="str">
        <x:v>₽/мес.</x:v>
      </x:c>
      <x:c r="D20" s="13" t="str">
        <x:v>Ввод</x:v>
      </x:c>
      <x:c r="E20" s="13" t="str">
        <x:v>Сценарно</x:v>
      </x:c>
    </x:row>
    <x:row r="21">
      <x:c r="A21" s="13" t="str">
        <x:v>Прочие постоянные расходы</x:v>
      </x:c>
      <x:c r="B21" s="32" t="n">
        <x:v>70000</x:v>
      </x:c>
      <x:c r="C21" s="13" t="str">
        <x:v>₽/мес.</x:v>
      </x:c>
      <x:c r="D21" s="13" t="str">
        <x:v>Ввод</x:v>
      </x:c>
      <x:c r="E21" s="13" t="str">
        <x:v>Сценарно</x:v>
      </x:c>
    </x:row>
    <x:row r="22">
      <x:c r="A22" s="13" t="str">
        <x:v>Разовые вложения</x:v>
      </x:c>
      <x:c r="B22" s="32" t="n">
        <x:v>6000000</x:v>
      </x:c>
      <x:c r="C22" s="13" t="str">
        <x:v>₽</x:v>
      </x:c>
      <x:c r="D22" s="13" t="str">
        <x:v>Ввод</x:v>
      </x:c>
      <x:c r="E22" s="13" t="str">
        <x:v>Иллюстративно; НЕ параметр франшизы Жизньмарт</x:v>
      </x:c>
    </x:row>
    <x:row r="23">
      <x:c r="A23" s="13" t="str">
        <x:v>Оборотный капитал на старт</x:v>
      </x:c>
      <x:c r="B23" s="32" t="n">
        <x:v>800000</x:v>
      </x:c>
      <x:c r="C23" s="13" t="str">
        <x:v>₽</x:v>
      </x:c>
      <x:c r="D23" s="13" t="str">
        <x:v>Ввод</x:v>
      </x:c>
      <x:c r="E23" s="13" t="str">
        <x:v>Сценарно</x:v>
      </x:c>
    </x:row>
    <x:row r="24">
      <x:c r="A24" s="13" t="str">
        <x:v>Денежный резерв после открытия</x:v>
      </x:c>
      <x:c r="B24" s="32" t="n">
        <x:v>3000000</x:v>
      </x:c>
      <x:c r="C24" s="13" t="str">
        <x:v>₽</x:v>
      </x:c>
      <x:c r="D24" s="13" t="str">
        <x:v>Ввод</x:v>
      </x:c>
      <x:c r="E24" s="13" t="str">
        <x:v>Сценарно</x:v>
      </x:c>
    </x:row>
    <x:row r="25">
      <x:c r="A25" s="13" t="str">
        <x:v>Мин. операционная маржа для GO</x:v>
      </x:c>
      <x:c r="B25" s="31" t="n">
        <x:v>0.08</x:v>
      </x:c>
      <x:c r="C25" s="13" t="str">
        <x:v>%</x:v>
      </x:c>
      <x:c r="D25" s="13" t="str">
        <x:v>Порог</x:v>
      </x:c>
      <x:c r="E25" s="13" t="str">
        <x:v>Внутренний порог</x:v>
      </x:c>
    </x:row>
    <x:row r="26">
      <x:c r="A26" s="13" t="str">
        <x:v>Макс. загрузка кассовой мощности</x:v>
      </x:c>
      <x:c r="B26" s="31" t="n">
        <x:v>0.8</x:v>
      </x:c>
      <x:c r="C26" s="13" t="str">
        <x:v>%</x:v>
      </x:c>
      <x:c r="D26" s="13" t="str">
        <x:v>Порог</x:v>
      </x:c>
      <x:c r="E26" s="13" t="str">
        <x:v>Выше — риск очередей/сервиса</x:v>
      </x:c>
    </x:row>
    <x:row r="27">
      <x:c r="A27" s="13" t="str">
        <x:v>Мин. Location score</x:v>
      </x:c>
      <x:c r="B27" s="30" t="n">
        <x:v>70</x:v>
      </x:c>
      <x:c r="C27" s="13" t="str">
        <x:v>балл /100</x:v>
      </x:c>
      <x:c r="D27" s="13" t="str">
        <x:v>Порог</x:v>
      </x:c>
      <x:c r="E27" s="13" t="str">
        <x:v>Внутренний порог</x:v>
      </x:c>
    </x:row>
    <x:row r="28">
      <x:c r="A28" s="13" t="str">
        <x:v>Мин. Supplier QA score</x:v>
      </x:c>
      <x:c r="B28" s="30" t="n">
        <x:v>70</x:v>
      </x:c>
      <x:c r="C28" s="13" t="str">
        <x:v>балл /100</x:v>
      </x:c>
      <x:c r="D28" s="13" t="str">
        <x:v>Порог</x:v>
      </x:c>
      <x:c r="E28" s="13" t="str">
        <x:v>Внутренний порог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8" hidden="0" customWidth="1"/>
    <x:col min="3" max="3" width="16" hidden="0" customWidth="1"/>
    <x:col min="4" max="4" width="52" hidden="0" customWidth="1"/>
  </x:cols>
  <x:sheetData>
    <x:row r="1" ht="28" customHeight="1">
      <x:c r="A1" s="5" t="str">
        <x:v>UNIT ECONOMICS — ОДНА ТОЧКА НА СТАБИЛЬНОЙ ЗАГРУЗКЕ</x:v>
      </x:c>
    </x:row>
    <x:row r="3">
      <x:c r="A3" s="19" t="str">
        <x:v>Показатель</x:v>
      </x:c>
      <x:c r="B3" s="19" t="str">
        <x:v>Результат</x:v>
      </x:c>
      <x:c r="C3" s="19" t="str">
        <x:v>Ед.</x:v>
      </x:c>
      <x:c r="D3" s="19" t="str">
        <x:v>Смысл</x:v>
      </x:c>
    </x:row>
    <x:row r="4">
      <x:c r="A4" s="13" t="str">
        <x:v>Офлайн-чеков в день</x:v>
      </x:c>
      <x:c r="B4" s="52" t="n">
        <x:f>INPUTS!B4*INPUTS!B5</x:f>
        <x:v>165</x:v>
      </x:c>
      <x:c r="C4" s="13" t="str">
        <x:v>чеков/день</x:v>
      </x:c>
      <x:c r="D4" s="13" t="str">
        <x:v>трафик × конверсия</x:v>
      </x:c>
    </x:row>
    <x:row r="5">
      <x:c r="A5" s="13" t="str">
        <x:v>Офлайн-выручка / мес.</x:v>
      </x:c>
      <x:c r="B5" s="53" t="n">
        <x:f>B4*INPUTS!B6*INPUTS!B9</x:f>
        <x:v>2722500</x:v>
      </x:c>
      <x:c r="C5" s="13" t="str">
        <x:v>₽</x:v>
      </x:c>
      <x:c r="D5" s="13" t="str">
        <x:v>чеки × средний чек × дни</x:v>
      </x:c>
    </x:row>
    <x:row r="6">
      <x:c r="A6" s="13" t="str">
        <x:v>Выручка доставки / мес.</x:v>
      </x:c>
      <x:c r="B6" s="53" t="n">
        <x:f>INPUTS!B7*INPUTS!B8*INPUTS!B9</x:f>
        <x:v>405000</x:v>
      </x:c>
      <x:c r="C6" s="13" t="str">
        <x:v>₽</x:v>
      </x:c>
      <x:c r="D6" s="13" t="str">
        <x:v>заказы × чек × дни</x:v>
      </x:c>
    </x:row>
    <x:row r="7">
      <x:c r="A7" s="62" t="str">
        <x:v>ИТОГО ВЫРУЧКА</x:v>
      </x:c>
      <x:c r="B7" s="63" t="n">
        <x:f>B5+B6</x:f>
        <x:v>3127500</x:v>
      </x:c>
      <x:c r="C7" s="62" t="str">
        <x:v>₽</x:v>
      </x:c>
      <x:c r="D7" s="62" t="str">
        <x:v>офлайн + доставка</x:v>
      </x:c>
    </x:row>
    <x:row r="8">
      <x:c r="A8" s="13" t="str">
        <x:v>Закупочная себестоимость</x:v>
      </x:c>
      <x:c r="B8" s="53" t="n">
        <x:f>B7*INPUTS!B10</x:f>
        <x:v>1626300</x:v>
      </x:c>
      <x:c r="C8" s="13" t="str">
        <x:v>₽</x:v>
      </x:c>
      <x:c r="D8" s="13" t="str">
        <x:v>% от выручки</x:v>
      </x:c>
    </x:row>
    <x:row r="9">
      <x:c r="A9" s="13" t="str">
        <x:v>Списания</x:v>
      </x:c>
      <x:c r="B9" s="53" t="n">
        <x:f>B7*INPUTS!B11</x:f>
        <x:v>125100</x:v>
      </x:c>
      <x:c r="C9" s="13" t="str">
        <x:v>₽</x:v>
      </x:c>
      <x:c r="D9" s="13" t="str">
        <x:v>% от выручки</x:v>
      </x:c>
    </x:row>
    <x:row r="10">
      <x:c r="A10" s="13" t="str">
        <x:v>Эквайринг</x:v>
      </x:c>
      <x:c r="B10" s="53" t="n">
        <x:f>B7*INPUTS!B12</x:f>
        <x:v>53167.50000000001</x:v>
      </x:c>
      <x:c r="C10" s="13" t="str">
        <x:v>₽</x:v>
      </x:c>
      <x:c r="D10" s="13" t="str">
        <x:v>% от выручки</x:v>
      </x:c>
    </x:row>
    <x:row r="11">
      <x:c r="A11" s="13" t="str">
        <x:v>Переменные расходы доставки</x:v>
      </x:c>
      <x:c r="B11" s="53" t="n">
        <x:f>B6*INPUTS!B13</x:f>
        <x:v>32400</x:v>
      </x:c>
      <x:c r="C11" s="13" t="str">
        <x:v>₽</x:v>
      </x:c>
      <x:c r="D11" s="13" t="str">
        <x:v>% от доставки</x:v>
      </x:c>
    </x:row>
    <x:row r="12">
      <x:c r="A12" s="13" t="str">
        <x:v>Роялти / сетевой сбор</x:v>
      </x:c>
      <x:c r="B12" s="53" t="n">
        <x:f>B7*INPUTS!B14</x:f>
        <x:v>0</x:v>
      </x:c>
      <x:c r="C12" s="13" t="str">
        <x:v>₽</x:v>
      </x:c>
      <x:c r="D12" s="13" t="str">
        <x:v>% от выручки</x:v>
      </x:c>
    </x:row>
    <x:row r="13">
      <x:c r="A13" s="13" t="str">
        <x:v>Резерв на налоги/НДС</x:v>
      </x:c>
      <x:c r="B13" s="53" t="n">
        <x:f>B7*INPUTS!B15</x:f>
        <x:v>156375</x:v>
      </x:c>
      <x:c r="C13" s="13" t="str">
        <x:v>₽</x:v>
      </x:c>
      <x:c r="D13" s="13" t="str">
        <x:v>сценарный резерв; замените фактом</x:v>
      </x:c>
    </x:row>
    <x:row r="14">
      <x:c r="A14" s="66" t="str">
        <x:v>ВКЛАД ПОСЛЕ ПЕРЕМЕННЫХ</x:v>
      </x:c>
      <x:c r="B14" s="67" t="n">
        <x:f>B7-SUM(B8:B13)</x:f>
        <x:v>1134157.5</x:v>
      </x:c>
      <x:c r="C14" s="66" t="str">
        <x:v>₽</x:v>
      </x:c>
      <x:c r="D14" s="66" t="str">
        <x:v>выручка минус переменные</x:v>
      </x:c>
    </x:row>
    <x:row r="15">
      <x:c r="A15" s="66" t="str">
        <x:v>Маржа вклада</x:v>
      </x:c>
      <x:c r="B15" s="68" t="n">
        <x:f>IFERROR(B14/B7,0)</x:f>
        <x:v>0.3626402877697842</x:v>
      </x:c>
      <x:c r="C15" s="66" t="str">
        <x:v>%</x:v>
      </x:c>
      <x:c r="D15" s="66" t="str">
        <x:v>вклад / выручка</x:v>
      </x:c>
    </x:row>
    <x:row r="16">
      <x:c r="A16" s="13" t="str">
        <x:v>Фиксированные расходы</x:v>
      </x:c>
      <x:c r="B16" s="53" t="n">
        <x:f>SUM(INPUTS!B16:B21)</x:f>
        <x:v>995000</x:v>
      </x:c>
      <x:c r="C16" s="13" t="str">
        <x:v>₽</x:v>
      </x:c>
      <x:c r="D16" s="13" t="str">
        <x:v>ФОТ + аренда + коммунальные + IT + маркетинг + прочее</x:v>
      </x:c>
    </x:row>
    <x:row r="17">
      <x:c r="A17" s="72" t="str">
        <x:v>ОПЕРАЦИОННАЯ ПРИБЫЛЬ</x:v>
      </x:c>
      <x:c r="B17" s="73" t="n">
        <x:f>B14-B16</x:f>
        <x:v>139157.5</x:v>
      </x:c>
      <x:c r="C17" s="72" t="str">
        <x:v>₽/мес.</x:v>
      </x:c>
      <x:c r="D17" s="72" t="str">
        <x:v>вклад - фиксированные</x:v>
      </x:c>
    </x:row>
    <x:row r="18">
      <x:c r="A18" s="72" t="str">
        <x:v>Операционная маржа</x:v>
      </x:c>
      <x:c r="B18" s="74" t="n">
        <x:f>IFERROR(B17/B7,0)</x:f>
        <x:v>0.04449480415667466</x:v>
      </x:c>
      <x:c r="C18" s="72" t="str">
        <x:v>%</x:v>
      </x:c>
      <x:c r="D18" s="72" t="str">
        <x:v>прибыль / выручка</x:v>
      </x:c>
    </x:row>
    <x:row r="19">
      <x:c r="A19" s="13" t="str">
        <x:v>Точка безубыточности по выручке</x:v>
      </x:c>
      <x:c r="B19" s="54" t="n">
        <x:f>IFERROR(B16/B15,0)</x:f>
        <x:v>2743765.746820878</x:v>
      </x:c>
      <x:c r="C19" s="13" t="str">
        <x:v>₽/мес.</x:v>
      </x:c>
      <x:c r="D19" s="13" t="str">
        <x:v>фиксированные / маржа вклада</x:v>
      </x:c>
    </x:row>
    <x:row r="20">
      <x:c r="A20" s="13" t="str">
        <x:v>Точка безубыточности по офлайн-чекам</x:v>
      </x:c>
      <x:c r="B20" s="56" t="n">
        <x:f>MAX(0,(B19-B6)/(INPUTS!B6*INPUTS!B9))</x:f>
        <x:v>141.74337859520472</x:v>
      </x:c>
      <x:c r="C20" s="13" t="str">
        <x:v>чеков/день</x:v>
      </x:c>
      <x:c r="D20" s="13" t="str">
        <x:v>при текущей доставке и среднем чеке</x:v>
      </x:c>
    </x:row>
    <x:row r="21">
      <x:c r="A21" s="13" t="str">
        <x:v>Требуемый целевой трафик для безубыточности</x:v>
      </x:c>
      <x:c r="B21" s="56" t="n">
        <x:f>IFERROR(B20/INPUTS!B5,0)</x:f>
        <x:v>472.47792865068243</x:v>
      </x:c>
      <x:c r="C21" s="13" t="str">
        <x:v>чел./день</x:v>
      </x:c>
      <x:c r="D21" s="13" t="str">
        <x:v>чеки / конверсия</x:v>
      </x:c>
    </x:row>
    <x:row r="22">
      <x:c r="A22" s="13" t="str">
        <x:v>Срок возврата стартовых вложений</x:v>
      </x:c>
      <x:c r="B22" s="56" t="n">
        <x:f>IF(B17&gt;0,(INPUTS!B22+INPUTS!B23)/B17,999)</x:f>
        <x:v>48.865494134344175</x:v>
      </x:c>
      <x:c r="C22" s="13" t="str">
        <x:v>мес.</x:v>
      </x:c>
      <x:c r="D22" s="13" t="str">
        <x:v>(CAPEX + оборотный капитал) / прибыль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7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8" customHeight="1">
      <x:c r="A1" s="5" t="str">
        <x:v>SCENARIOS — СТРЕСС-ТЕСТ ВЫРУЧКИ И РАСХОДОВ</x:v>
      </x:c>
    </x:row>
    <x:row r="3">
      <x:c r="A3" s="19" t="str">
        <x:v>Сценарий</x:v>
      </x:c>
      <x:c r="B3" s="19" t="str">
        <x:v>Продажи</x:v>
      </x:c>
      <x:c r="C3" s="19" t="str">
        <x:v>Списания</x:v>
      </x:c>
      <x:c r="D3" s="19" t="str">
        <x:v>Аренда</x:v>
      </x:c>
      <x:c r="E3" s="19" t="str">
        <x:v>ФОТ</x:v>
      </x:c>
      <x:c r="F3" s="19" t="str">
        <x:v>Выручка</x:v>
      </x:c>
      <x:c r="G3" s="19" t="str">
        <x:v>Опер. прибыль</x:v>
      </x:c>
      <x:c r="H3" s="19" t="str">
        <x:v>Маржа</x:v>
      </x:c>
      <x:c r="I3" s="19" t="str">
        <x:v>Payback</x:v>
      </x:c>
      <x:c r="J3" s="19" t="str">
        <x:v>Статус</x:v>
      </x:c>
    </x:row>
    <x:row r="4">
      <x:c r="A4" s="13" t="str">
        <x:v>Стресс -30%</x:v>
      </x:c>
      <x:c r="B4" s="80" t="n">
        <x:v>0.7</x:v>
      </x:c>
      <x:c r="C4" s="80" t="n">
        <x:v>1</x:v>
      </x:c>
      <x:c r="D4" s="80" t="n">
        <x:v>1</x:v>
      </x:c>
      <x:c r="E4" s="80" t="n">
        <x:v>1</x:v>
      </x:c>
      <x:c r="F4" s="54" t="n">
        <x:f>UNIT_TEST!B7*B4</x:f>
        <x:v>2189250</x:v>
      </x:c>
      <x:c r="G4" s="54" t="n">
        <x:f>F4-(F4*(INPUTS!B10+INPUTS!B11*C4+INPUTS!B12+INPUTS!B14+INPUTS!B15)+UNIT_TEST!B11*B4)-(INPUTS!B16*E4+INPUTS!B17*D4+SUM(INPUTS!B18:B21))</x:f>
        <x:v>-201089.75000000023</x:v>
      </x:c>
      <x:c r="H4" s="55" t="n">
        <x:f>IFERROR(G4/F4,0)</x:f>
        <x:v>-0.0918532602489438</x:v>
      </x:c>
      <x:c r="I4" s="56" t="n">
        <x:f>IF(G4&gt;0,(INPUTS!B22+INPUTS!B23)/G4,999)</x:f>
        <x:v>999</x:v>
      </x:c>
      <x:c r="J4" s="81" t="str">
        <x:f>IF(AND(G4&gt;0,H4&gt;=INPUTS!B25),"GO",IF(G4&gt;0,"TEST","NO-GO"))</x:f>
        <x:v>NO-GO</x:v>
      </x:c>
    </x:row>
    <x:row r="5">
      <x:c r="A5" s="13" t="str">
        <x:v>Слабый -20%</x:v>
      </x:c>
      <x:c r="B5" s="80" t="n">
        <x:v>0.8</x:v>
      </x:c>
      <x:c r="C5" s="80" t="n">
        <x:v>1</x:v>
      </x:c>
      <x:c r="D5" s="80" t="n">
        <x:v>1</x:v>
      </x:c>
      <x:c r="E5" s="80" t="n">
        <x:v>1</x:v>
      </x:c>
      <x:c r="F5" s="54" t="n">
        <x:f>UNIT_TEST!B7*B5</x:f>
        <x:v>2502000</x:v>
      </x:c>
      <x:c r="G5" s="54" t="n">
        <x:f>F5-(F5*(INPUTS!B10+INPUTS!B11*C5+INPUTS!B12+INPUTS!B14+INPUTS!B15)+UNIT_TEST!B11*B5)-(INPUTS!B16*E5+INPUTS!B17*D5+SUM(INPUTS!B18:B21))</x:f>
        <x:v>-87674.00000000023</x:v>
      </x:c>
      <x:c r="H5" s="55" t="n">
        <x:f>IFERROR(G5/F5,0)</x:f>
        <x:v>-0.03504156674660281</x:v>
      </x:c>
      <x:c r="I5" s="56" t="n">
        <x:f>IF(G5&gt;0,(INPUTS!B22+INPUTS!B23)/G5,999)</x:f>
        <x:v>999</x:v>
      </x:c>
      <x:c r="J5" s="81" t="str">
        <x:f>IF(AND(G5&gt;0,H5&gt;=INPUTS!B25),"GO",IF(G5&gt;0,"TEST","NO-GO"))</x:f>
        <x:v>NO-GO</x:v>
      </x:c>
    </x:row>
    <x:row r="6">
      <x:c r="A6" s="13" t="str">
        <x:v>База</x:v>
      </x:c>
      <x:c r="B6" s="80" t="n">
        <x:v>1</x:v>
      </x:c>
      <x:c r="C6" s="80" t="n">
        <x:v>1</x:v>
      </x:c>
      <x:c r="D6" s="80" t="n">
        <x:v>1</x:v>
      </x:c>
      <x:c r="E6" s="80" t="n">
        <x:v>1</x:v>
      </x:c>
      <x:c r="F6" s="54" t="n">
        <x:f>UNIT_TEST!B7*B6</x:f>
        <x:v>3127500</x:v>
      </x:c>
      <x:c r="G6" s="54" t="n">
        <x:f>F6-(F6*(INPUTS!B10+INPUTS!B11*C6+INPUTS!B12+INPUTS!B14+INPUTS!B15)+UNIT_TEST!B11*B6)-(INPUTS!B16*E6+INPUTS!B17*D6+SUM(INPUTS!B18:B21))</x:f>
        <x:v>139157.49999999953</x:v>
      </x:c>
      <x:c r="H6" s="55" t="n">
        <x:f>IFERROR(G6/F6,0)</x:f>
        <x:v>0.04449480415667451</x:v>
      </x:c>
      <x:c r="I6" s="56" t="n">
        <x:f>IF(G6&gt;0,(INPUTS!B22+INPUTS!B23)/G6,999)</x:f>
        <x:v>48.865494134344345</x:v>
      </x:c>
      <x:c r="J6" s="81" t="str">
        <x:f>IF(AND(G6&gt;0,H6&gt;=INPUTS!B25),"GO",IF(G6&gt;0,"TEST","NO-GO"))</x:f>
        <x:v>TEST</x:v>
      </x:c>
    </x:row>
    <x:row r="7">
      <x:c r="A7" s="13" t="str">
        <x:v>Рост +15%</x:v>
      </x:c>
      <x:c r="B7" s="80" t="n">
        <x:v>1.15</x:v>
      </x:c>
      <x:c r="C7" s="80" t="n">
        <x:v>1</x:v>
      </x:c>
      <x:c r="D7" s="80" t="n">
        <x:v>1</x:v>
      </x:c>
      <x:c r="E7" s="80" t="n">
        <x:v>1</x:v>
      </x:c>
      <x:c r="F7" s="54" t="n">
        <x:f>UNIT_TEST!B7*B7</x:f>
        <x:v>3596624.9999999995</x:v>
      </x:c>
      <x:c r="G7" s="54" t="n">
        <x:f>F7-(F7*(INPUTS!B10+INPUTS!B11*C7+INPUTS!B12+INPUTS!B14+INPUTS!B15)+UNIT_TEST!B11*B7)-(INPUTS!B16*E7+INPUTS!B17*D7+SUM(INPUTS!B18:B21))</x:f>
        <x:v>309281.12499999953</x:v>
      </x:c>
      <x:c r="H7" s="55" t="n">
        <x:f>IFERROR(G7/F7,0)</x:f>
        <x:v>0.08599204114968882</x:v>
      </x:c>
      <x:c r="I7" s="56" t="n">
        <x:f>IF(G7&gt;0,(INPUTS!B22+INPUTS!B23)/G7,999)</x:f>
        <x:v>21.986469429713857</x:v>
      </x:c>
      <x:c r="J7" s="81" t="str">
        <x:f>IF(AND(G7&gt;0,H7&gt;=INPUTS!B25),"GO",IF(G7&gt;0,"TEST","NO-GO"))</x:f>
        <x:v>GO</x:v>
      </x:c>
    </x:row>
    <x:row r="8">
      <x:c r="A8" s="13" t="str">
        <x:v>Списания +3 п.п.</x:v>
      </x:c>
      <x:c r="B8" s="80" t="n">
        <x:v>1</x:v>
      </x:c>
      <x:c r="C8" s="80" t="n">
        <x:v>1.75</x:v>
      </x:c>
      <x:c r="D8" s="80" t="n">
        <x:v>1</x:v>
      </x:c>
      <x:c r="E8" s="80" t="n">
        <x:v>1</x:v>
      </x:c>
      <x:c r="F8" s="54" t="n">
        <x:f>UNIT_TEST!B7*B8</x:f>
        <x:v>3127500</x:v>
      </x:c>
      <x:c r="G8" s="54" t="n">
        <x:f>F8-(F8*(INPUTS!B10+INPUTS!B11*C8+INPUTS!B12+INPUTS!B14+INPUTS!B15)+UNIT_TEST!B11*B8)-(INPUTS!B16*E8+INPUTS!B17*D8+SUM(INPUTS!B18:B21))</x:f>
        <x:v>45332.499999999534</x:v>
      </x:c>
      <x:c r="H8" s="55" t="n">
        <x:f>IFERROR(G8/F8,0)</x:f>
        <x:v>0.014494804156674512</x:v>
      </x:c>
      <x:c r="I8" s="56" t="n">
        <x:f>IF(G8&gt;0,(INPUTS!B22+INPUTS!B23)/G8,999)</x:f>
        <x:v>150.00275740363028</x:v>
      </x:c>
      <x:c r="J8" s="81" t="str">
        <x:f>IF(AND(G8&gt;0,H8&gt;=INPUTS!B25),"GO",IF(G8&gt;0,"TEST","NO-GO"))</x:f>
        <x:v>TEST</x:v>
      </x:c>
    </x:row>
    <x:row r="9">
      <x:c r="A9" s="13" t="str">
        <x:v>Аренда +20%</x:v>
      </x:c>
      <x:c r="B9" s="80" t="n">
        <x:v>1</x:v>
      </x:c>
      <x:c r="C9" s="80" t="n">
        <x:v>1</x:v>
      </x:c>
      <x:c r="D9" s="80" t="n">
        <x:v>1.2</x:v>
      </x:c>
      <x:c r="E9" s="80" t="n">
        <x:v>1</x:v>
      </x:c>
      <x:c r="F9" s="54" t="n">
        <x:f>UNIT_TEST!B7*B9</x:f>
        <x:v>3127500</x:v>
      </x:c>
      <x:c r="G9" s="54" t="n">
        <x:f>F9-(F9*(INPUTS!B10+INPUTS!B11*C9+INPUTS!B12+INPUTS!B14+INPUTS!B15)+UNIT_TEST!B11*B9)-(INPUTS!B16*E9+INPUTS!B17*D9+SUM(INPUTS!B18:B21))</x:f>
        <x:v>87157.49999999953</x:v>
      </x:c>
      <x:c r="H9" s="55" t="n">
        <x:f>IFERROR(G9/F9,0)</x:f>
        <x:v>0.027868105515587382</x:v>
      </x:c>
      <x:c r="I9" s="56" t="n">
        <x:f>IF(G9&gt;0,(INPUTS!B22+INPUTS!B23)/G9,999)</x:f>
        <x:v>78.01967702148451</x:v>
      </x:c>
      <x:c r="J9" s="81" t="str">
        <x:f>IF(AND(G9&gt;0,H9&gt;=INPUTS!B25),"GO",IF(G9&gt;0,"TEST","NO-GO"))</x:f>
        <x:v>TEST</x:v>
      </x:c>
    </x:row>
    <x:row r="10">
      <x:c r="A10" s="13" t="str">
        <x:v>ФОТ +15%</x:v>
      </x:c>
      <x:c r="B10" s="80" t="n">
        <x:v>1</x:v>
      </x:c>
      <x:c r="C10" s="80" t="n">
        <x:v>1</x:v>
      </x:c>
      <x:c r="D10" s="80" t="n">
        <x:v>1</x:v>
      </x:c>
      <x:c r="E10" s="80" t="n">
        <x:v>1.15</x:v>
      </x:c>
      <x:c r="F10" s="54" t="n">
        <x:f>UNIT_TEST!B7*B10</x:f>
        <x:v>3127500</x:v>
      </x:c>
      <x:c r="G10" s="54" t="n">
        <x:f>F10-(F10*(INPUTS!B10+INPUTS!B11*C10+INPUTS!B12+INPUTS!B14+INPUTS!B15)+UNIT_TEST!B11*B10)-(INPUTS!B16*E10+INPUTS!B17*D10+SUM(INPUTS!B18:B21))</x:f>
        <x:v>61157.499999999534</x:v>
      </x:c>
      <x:c r="H10" s="55" t="n">
        <x:f>IFERROR(G10/F10,0)</x:f>
        <x:v>0.019554756195043817</x:v>
      </x:c>
      <x:c r="I10" s="56" t="n">
        <x:f>IF(G10&gt;0,(INPUTS!B22+INPUTS!B23)/G10,999)</x:f>
        <x:v>111.18832522585213</x:v>
      </x:c>
      <x:c r="J10" s="81" t="str">
        <x:f>IF(AND(G10&gt;0,H10&gt;=INPUTS!B25),"GO",IF(G10&gt;0,"TEST","NO-GO"))</x:f>
        <x:v>TEST</x:v>
      </x:c>
    </x:row>
  </x:sheetData>
  <x:mergeCells>
    <x:mergeCell ref="A1:J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18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12" hidden="0" customWidth="1"/>
  </x:cols>
  <x:sheetData>
    <x:row r="1" ht="28" customHeight="1">
      <x:c r="A1" s="5" t="str">
        <x:v>P&amp;L 12 МЕСЯЦЕВ — СЦЕНАРНЫЙ РАЗГОН ТОЧКИ</x:v>
      </x:c>
    </x:row>
    <x:row r="3">
      <x:c r="A3" s="19" t="str">
        <x:v>Месяц</x:v>
      </x:c>
      <x:c r="B3" s="19" t="str">
        <x:v>Загрузка к базе</x:v>
      </x:c>
      <x:c r="C3" s="19" t="str">
        <x:v>Выручка</x:v>
      </x:c>
      <x:c r="D3" s="19" t="str">
        <x:v>Переменные расходы</x:v>
      </x:c>
      <x:c r="E3" s="19" t="str">
        <x:v>Вклад</x:v>
      </x:c>
      <x:c r="F3" s="19" t="str">
        <x:v>Фиксированные</x:v>
      </x:c>
      <x:c r="G3" s="19" t="str">
        <x:v>Опер. результат</x:v>
      </x:c>
      <x:c r="H3" s="19" t="str">
        <x:v>Маржа</x:v>
      </x:c>
    </x:row>
    <x:row r="4">
      <x:c r="A4" t="n">
        <x:v>1</x:v>
      </x:c>
      <x:c r="B4" s="78" t="n">
        <x:v>0.55</x:v>
      </x:c>
      <x:c r="C4" s="44" t="n">
        <x:f>UNIT_TEST!B7*B4</x:f>
        <x:v>1720125.0000000002</x:v>
      </x:c>
      <x:c r="D4" s="44" t="n">
        <x:f>C4*(INPUTS!B10+INPUTS!B11+INPUTS!B12+INPUTS!B14+INPUTS!B15)+UNIT_TEST!B11*B4</x:f>
        <x:v>1096338.3750000002</x:v>
      </x:c>
      <x:c r="E4" s="44" t="n">
        <x:f>C4-D4</x:f>
        <x:v>623786.625</x:v>
      </x:c>
      <x:c r="F4" s="44" t="n">
        <x:f>UNIT_TEST!B16</x:f>
        <x:v>995000</x:v>
      </x:c>
      <x:c r="G4" s="44" t="n">
        <x:f>E4-F4</x:f>
        <x:v>-371213.375</x:v>
      </x:c>
      <x:c r="H4" s="46" t="n">
        <x:f>IFERROR(G4/C4,0)</x:f>
        <x:v>-0.21580604607223308</x:v>
      </x:c>
    </x:row>
    <x:row r="5">
      <x:c r="A5" t="n">
        <x:v>2</x:v>
      </x:c>
      <x:c r="B5" s="78" t="n">
        <x:v>0.65</x:v>
      </x:c>
      <x:c r="C5" s="44" t="n">
        <x:f>UNIT_TEST!B7*B5</x:f>
        <x:v>2032875</x:v>
      </x:c>
      <x:c r="D5" s="44" t="n">
        <x:f>C5*(INPUTS!B10+INPUTS!B11+INPUTS!B12+INPUTS!B14+INPUTS!B15)+UNIT_TEST!B11*B5</x:f>
        <x:v>1295672.6250000002</x:v>
      </x:c>
      <x:c r="E5" s="44" t="n">
        <x:f>C5-D5</x:f>
        <x:v>737202.3749999998</x:v>
      </x:c>
      <x:c r="F5" s="44" t="n">
        <x:f>UNIT_TEST!B16</x:f>
        <x:v>995000</x:v>
      </x:c>
      <x:c r="G5" s="44" t="n">
        <x:f>E5-F5</x:f>
        <x:v>-257797.62500000023</x:v>
      </x:c>
      <x:c r="H5" s="46" t="n">
        <x:f>IFERROR(G5/C5,0)</x:f>
        <x:v>-0.12681430240423058</x:v>
      </x:c>
    </x:row>
    <x:row r="6">
      <x:c r="A6" t="n">
        <x:v>3</x:v>
      </x:c>
      <x:c r="B6" s="78" t="n">
        <x:v>0.75</x:v>
      </x:c>
      <x:c r="C6" s="44" t="n">
        <x:f>UNIT_TEST!B7*B6</x:f>
        <x:v>2345625</x:v>
      </x:c>
      <x:c r="D6" s="44" t="n">
        <x:f>C6*(INPUTS!B10+INPUTS!B11+INPUTS!B12+INPUTS!B14+INPUTS!B15)+UNIT_TEST!B11*B6</x:f>
        <x:v>1495006.8750000002</x:v>
      </x:c>
      <x:c r="E6" s="44" t="n">
        <x:f>C6-D6</x:f>
        <x:v>850618.1249999998</x:v>
      </x:c>
      <x:c r="F6" s="44" t="n">
        <x:f>UNIT_TEST!B16</x:f>
        <x:v>995000</x:v>
      </x:c>
      <x:c r="G6" s="44" t="n">
        <x:f>E6-F6</x:f>
        <x:v>-144381.87500000023</x:v>
      </x:c>
      <x:c r="H6" s="46" t="n">
        <x:f>IFERROR(G6/C6,0)</x:f>
        <x:v>-0.06155369038102861</x:v>
      </x:c>
    </x:row>
    <x:row r="7">
      <x:c r="A7" t="n">
        <x:v>4</x:v>
      </x:c>
      <x:c r="B7" s="78" t="n">
        <x:v>0.82</x:v>
      </x:c>
      <x:c r="C7" s="44" t="n">
        <x:f>UNIT_TEST!B7*B7</x:f>
        <x:v>2564550</x:v>
      </x:c>
      <x:c r="D7" s="44" t="n">
        <x:f>C7*(INPUTS!B10+INPUTS!B11+INPUTS!B12+INPUTS!B14+INPUTS!B15)+UNIT_TEST!B11*B7</x:f>
        <x:v>1634540.8500000003</x:v>
      </x:c>
      <x:c r="E7" s="44" t="n">
        <x:f>C7-D7</x:f>
        <x:v>930009.1499999997</x:v>
      </x:c>
      <x:c r="F7" s="44" t="n">
        <x:f>UNIT_TEST!B16</x:f>
        <x:v>995000</x:v>
      </x:c>
      <x:c r="G7" s="44" t="n">
        <x:f>E7-F7</x:f>
        <x:v>-64990.850000000326</x:v>
      </x:c>
      <x:c r="H7" s="46" t="n">
        <x:f>IFERROR(G7/C7,0)</x:f>
        <x:v>-0.025342009319373898</x:v>
      </x:c>
    </x:row>
    <x:row r="8">
      <x:c r="A8" t="n">
        <x:v>5</x:v>
      </x:c>
      <x:c r="B8" s="78" t="n">
        <x:v>0.88</x:v>
      </x:c>
      <x:c r="C8" s="44" t="n">
        <x:f>UNIT_TEST!B7*B8</x:f>
        <x:v>2752200</x:v>
      </x:c>
      <x:c r="D8" s="44" t="n">
        <x:f>C8*(INPUTS!B10+INPUTS!B11+INPUTS!B12+INPUTS!B14+INPUTS!B15)+UNIT_TEST!B11*B8</x:f>
        <x:v>1754141.4000000004</x:v>
      </x:c>
      <x:c r="E8" s="44" t="n">
        <x:f>C8-D8</x:f>
        <x:v>998058.5999999996</x:v>
      </x:c>
      <x:c r="F8" s="44" t="n">
        <x:f>UNIT_TEST!B16</x:f>
        <x:v>995000</x:v>
      </x:c>
      <x:c r="G8" s="44" t="n">
        <x:f>E8-F8</x:f>
        <x:v>3058.5999999996275</x:v>
      </x:c>
      <x:c r="H8" s="46" t="n">
        <x:f>IFERROR(G8/C8,0)</x:f>
        <x:v>0.0011113291185232278</x:v>
      </x:c>
    </x:row>
    <x:row r="9">
      <x:c r="A9" t="n">
        <x:v>6</x:v>
      </x:c>
      <x:c r="B9" s="78" t="n">
        <x:v>0.93</x:v>
      </x:c>
      <x:c r="C9" s="44" t="n">
        <x:f>UNIT_TEST!B7*B9</x:f>
        <x:v>2908575</x:v>
      </x:c>
      <x:c r="D9" s="44" t="n">
        <x:f>C9*(INPUTS!B10+INPUTS!B11+INPUTS!B12+INPUTS!B14+INPUTS!B15)+UNIT_TEST!B11*B9</x:f>
        <x:v>1853808.5250000004</x:v>
      </x:c>
      <x:c r="E9" s="44" t="n">
        <x:f>C9-D9</x:f>
        <x:v>1054766.4749999996</x:v>
      </x:c>
      <x:c r="F9" s="44" t="n">
        <x:f>UNIT_TEST!B16</x:f>
        <x:v>995000</x:v>
      </x:c>
      <x:c r="G9" s="44" t="n">
        <x:f>E9-F9</x:f>
        <x:v>59766.47499999963</x:v>
      </x:c>
      <x:c r="H9" s="46" t="n">
        <x:f>IFERROR(G9/C9,0)</x:f>
        <x:v>0.02054836990622543</x:v>
      </x:c>
    </x:row>
    <x:row r="10">
      <x:c r="A10" t="n">
        <x:v>7</x:v>
      </x:c>
      <x:c r="B10" s="78" t="n">
        <x:v>0.97</x:v>
      </x:c>
      <x:c r="C10" s="44" t="n">
        <x:f>UNIT_TEST!B7*B10</x:f>
        <x:v>3033675</x:v>
      </x:c>
      <x:c r="D10" s="44" t="n">
        <x:f>C10*(INPUTS!B10+INPUTS!B11+INPUTS!B12+INPUTS!B14+INPUTS!B15)+UNIT_TEST!B11*B10</x:f>
        <x:v>1933542.2250000003</x:v>
      </x:c>
      <x:c r="E10" s="44" t="n">
        <x:f>C10-D10</x:f>
        <x:v>1100132.7749999997</x:v>
      </x:c>
      <x:c r="F10" s="44" t="n">
        <x:f>UNIT_TEST!B16</x:f>
        <x:v>995000</x:v>
      </x:c>
      <x:c r="G10" s="44" t="n">
        <x:f>E10-F10</x:f>
        <x:v>105132.77499999967</x:v>
      </x:c>
      <x:c r="H10" s="46" t="n">
        <x:f>IFERROR(G10/C10,0)</x:f>
        <x:v>0.034655253117093845</x:v>
      </x:c>
    </x:row>
    <x:row r="11">
      <x:c r="A11" t="n">
        <x:v>8</x:v>
      </x:c>
      <x:c r="B11" s="78" t="n">
        <x:v>1</x:v>
      </x:c>
      <x:c r="C11" s="44" t="n">
        <x:f>UNIT_TEST!B7*B11</x:f>
        <x:v>3127500</x:v>
      </x:c>
      <x:c r="D11" s="44" t="n">
        <x:f>C11*(INPUTS!B10+INPUTS!B11+INPUTS!B12+INPUTS!B14+INPUTS!B15)+UNIT_TEST!B11*B11</x:f>
        <x:v>1993342.5000000005</x:v>
      </x:c>
      <x:c r="E11" s="44" t="n">
        <x:f>C11-D11</x:f>
        <x:v>1134157.4999999995</x:v>
      </x:c>
      <x:c r="F11" s="44" t="n">
        <x:f>UNIT_TEST!B16</x:f>
        <x:v>995000</x:v>
      </x:c>
      <x:c r="G11" s="44" t="n">
        <x:f>E11-F11</x:f>
        <x:v>139157.49999999953</x:v>
      </x:c>
      <x:c r="H11" s="46" t="n">
        <x:f>IFERROR(G11/C11,0)</x:f>
        <x:v>0.04449480415667451</x:v>
      </x:c>
    </x:row>
    <x:row r="12">
      <x:c r="A12" t="n">
        <x:v>9</x:v>
      </x:c>
      <x:c r="B12" s="78" t="n">
        <x:v>1</x:v>
      </x:c>
      <x:c r="C12" s="44" t="n">
        <x:f>UNIT_TEST!B7*B12</x:f>
        <x:v>3127500</x:v>
      </x:c>
      <x:c r="D12" s="44" t="n">
        <x:f>C12*(INPUTS!B10+INPUTS!B11+INPUTS!B12+INPUTS!B14+INPUTS!B15)+UNIT_TEST!B11*B12</x:f>
        <x:v>1993342.5000000005</x:v>
      </x:c>
      <x:c r="E12" s="44" t="n">
        <x:f>C12-D12</x:f>
        <x:v>1134157.4999999995</x:v>
      </x:c>
      <x:c r="F12" s="44" t="n">
        <x:f>UNIT_TEST!B16</x:f>
        <x:v>995000</x:v>
      </x:c>
      <x:c r="G12" s="44" t="n">
        <x:f>E12-F12</x:f>
        <x:v>139157.49999999953</x:v>
      </x:c>
      <x:c r="H12" s="46" t="n">
        <x:f>IFERROR(G12/C12,0)</x:f>
        <x:v>0.04449480415667451</x:v>
      </x:c>
    </x:row>
    <x:row r="13">
      <x:c r="A13" t="n">
        <x:v>10</x:v>
      </x:c>
      <x:c r="B13" s="78" t="n">
        <x:v>1.02</x:v>
      </x:c>
      <x:c r="C13" s="44" t="n">
        <x:f>UNIT_TEST!B7*B13</x:f>
        <x:v>3190050</x:v>
      </x:c>
      <x:c r="D13" s="44" t="n">
        <x:f>C13*(INPUTS!B10+INPUTS!B11+INPUTS!B12+INPUTS!B14+INPUTS!B15)+UNIT_TEST!B11*B13</x:f>
        <x:v>2033209.3500000003</x:v>
      </x:c>
      <x:c r="E13" s="44" t="n">
        <x:f>C13-D13</x:f>
        <x:v>1156840.6499999997</x:v>
      </x:c>
      <x:c r="F13" s="44" t="n">
        <x:f>UNIT_TEST!B16</x:f>
        <x:v>995000</x:v>
      </x:c>
      <x:c r="G13" s="44" t="n">
        <x:f>E13-F13</x:f>
        <x:v>161840.64999999967</x:v>
      </x:c>
      <x:c r="H13" s="46" t="n">
        <x:f>IFERROR(G13/C13,0)</x:f>
        <x:v>0.05073295089418651</x:v>
      </x:c>
    </x:row>
    <x:row r="14">
      <x:c r="A14" t="n">
        <x:v>11</x:v>
      </x:c>
      <x:c r="B14" s="78" t="n">
        <x:v>1.03</x:v>
      </x:c>
      <x:c r="C14" s="44" t="n">
        <x:f>UNIT_TEST!B7*B14</x:f>
        <x:v>3221325</x:v>
      </x:c>
      <x:c r="D14" s="44" t="n">
        <x:f>C14*(INPUTS!B10+INPUTS!B11+INPUTS!B12+INPUTS!B14+INPUTS!B15)+UNIT_TEST!B11*B14</x:f>
        <x:v>2053142.7750000004</x:v>
      </x:c>
      <x:c r="E14" s="44" t="n">
        <x:f>C14-D14</x:f>
        <x:v>1168182.2249999996</x:v>
      </x:c>
      <x:c r="F14" s="44" t="n">
        <x:f>UNIT_TEST!B16</x:f>
        <x:v>995000</x:v>
      </x:c>
      <x:c r="G14" s="44" t="n">
        <x:f>E14-F14</x:f>
        <x:v>173182.22499999963</x:v>
      </x:c>
      <x:c r="H14" s="46" t="n">
        <x:f>IFERROR(G14/C14,0)</x:f>
        <x:v>0.05376117746579424</x:v>
      </x:c>
    </x:row>
    <x:row r="15">
      <x:c r="A15" t="n">
        <x:v>12</x:v>
      </x:c>
      <x:c r="B15" s="78" t="n">
        <x:v>1.05</x:v>
      </x:c>
      <x:c r="C15" s="44" t="n">
        <x:f>UNIT_TEST!B7*B15</x:f>
        <x:v>3283875</x:v>
      </x:c>
      <x:c r="D15" s="44" t="n">
        <x:f>C15*(INPUTS!B10+INPUTS!B11+INPUTS!B12+INPUTS!B14+INPUTS!B15)+UNIT_TEST!B11*B15</x:f>
        <x:v>2093009.6250000005</x:v>
      </x:c>
      <x:c r="E15" s="44" t="n">
        <x:f>C15-D15</x:f>
        <x:v>1190865.3749999995</x:v>
      </x:c>
      <x:c r="F15" s="44" t="n">
        <x:f>UNIT_TEST!B16</x:f>
        <x:v>995000</x:v>
      </x:c>
      <x:c r="G15" s="44" t="n">
        <x:f>E15-F15</x:f>
        <x:v>195865.37499999953</x:v>
      </x:c>
      <x:c r="H15" s="46" t="n">
        <x:f>IFERROR(G15/C15,0)</x:f>
        <x:v>0.05964458909063212</x:v>
      </x:c>
    </x:row>
  </x:sheetData>
  <x:mergeCells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0" hidden="0" customWidth="1"/>
    <x:col min="4" max="4" width="24" hidden="0" customWidth="1"/>
    <x:col min="5" max="5" width="20" hidden="0" customWidth="1"/>
    <x:col min="6" max="6" width="20" hidden="0" customWidth="1"/>
    <x:col min="8" max="8" width="24" hidden="0" customWidth="1"/>
    <x:col min="9" max="9" width="18" hidden="0" customWidth="1"/>
  </x:cols>
  <x:sheetData>
    <x:row r="1" ht="28" customHeight="1">
      <x:c r="A1" s="5" t="str">
        <x:v>CASH FLOW 12 МЕСЯЦЕВ — РЕЗЕРВ И КАССОВЫЙ РАЗРЫВ</x:v>
      </x:c>
    </x:row>
    <x:row r="3">
      <x:c r="A3" s="19" t="str">
        <x:v>Месяц</x:v>
      </x:c>
      <x:c r="B3" s="19" t="str">
        <x:v>Денежный резерв на начало</x:v>
      </x:c>
      <x:c r="C3" s="19" t="str">
        <x:v>Операционный CF</x:v>
      </x:c>
      <x:c r="D3" s="19" t="str">
        <x:v>CAPEX / оборотный капитал</x:v>
      </x:c>
      <x:c r="E3" s="19" t="str">
        <x:v>Остаток денег</x:v>
      </x:c>
      <x:c r="F3" s="19" t="str">
        <x:v>Минимальный запас</x:v>
      </x:c>
      <x:c r="H3" s="19" t="str">
        <x:v>Показатель</x:v>
      </x:c>
      <x:c r="I3" s="19" t="str">
        <x:v>Сумма</x:v>
      </x:c>
    </x:row>
    <x:row r="4">
      <x:c r="A4" t="n">
        <x:v>1</x:v>
      </x:c>
      <x:c r="B4" s="42" t="n">
        <x:f>INPUTS!B24</x:f>
        <x:v>3000000</x:v>
      </x:c>
      <x:c r="C4" s="42" t="n">
        <x:f>PNL_12M!G4</x:f>
        <x:v>-371213.375</x:v>
      </x:c>
      <x:c r="D4" s="44" t="n">
        <x:v>0</x:v>
      </x:c>
      <x:c r="E4" s="44" t="n">
        <x:f>B4+C4</x:f>
        <x:v>2628786.625</x:v>
      </x:c>
      <x:c r="F4" s="42" t="n">
        <x:f>UNIT_TEST!B16*3</x:f>
        <x:v>2985000</x:v>
      </x:c>
      <x:c r="H4" t="str">
        <x:v>CAPEX</x:v>
      </x:c>
      <x:c r="I4" s="84" t="n">
        <x:f>INPUTS!B22</x:f>
        <x:v>6000000</x:v>
      </x:c>
    </x:row>
    <x:row r="5">
      <x:c r="A5" t="n">
        <x:v>2</x:v>
      </x:c>
      <x:c r="B5" s="44" t="n">
        <x:f>E4</x:f>
        <x:v>2628786.625</x:v>
      </x:c>
      <x:c r="C5" s="42" t="n">
        <x:f>PNL_12M!G5</x:f>
        <x:v>-257797.62500000023</x:v>
      </x:c>
      <x:c r="D5" s="44" t="n">
        <x:v>0</x:v>
      </x:c>
      <x:c r="E5" s="44" t="n">
        <x:f>B5+C5</x:f>
        <x:v>2370989</x:v>
      </x:c>
      <x:c r="F5" s="42" t="n">
        <x:f>UNIT_TEST!B16*3</x:f>
        <x:v>2985000</x:v>
      </x:c>
      <x:c r="H5" t="str">
        <x:v>Оборотный капитал</x:v>
      </x:c>
      <x:c r="I5" s="84" t="n">
        <x:f>INPUTS!B23</x:f>
        <x:v>800000</x:v>
      </x:c>
    </x:row>
    <x:row r="6">
      <x:c r="A6" t="n">
        <x:v>3</x:v>
      </x:c>
      <x:c r="B6" s="44" t="n">
        <x:f>E5</x:f>
        <x:v>2370989</x:v>
      </x:c>
      <x:c r="C6" s="42" t="n">
        <x:f>PNL_12M!G6</x:f>
        <x:v>-144381.87500000023</x:v>
      </x:c>
      <x:c r="D6" s="44" t="n">
        <x:v>0</x:v>
      </x:c>
      <x:c r="E6" s="44" t="n">
        <x:f>B6+C6</x:f>
        <x:v>2226607.125</x:v>
      </x:c>
      <x:c r="F6" s="42" t="n">
        <x:f>UNIT_TEST!B16*3</x:f>
        <x:v>2985000</x:v>
      </x:c>
      <x:c r="H6" t="str">
        <x:v>Всего до резерва</x:v>
      </x:c>
      <x:c r="I6" s="84" t="n">
        <x:f>SUM(I4:I5)</x:f>
        <x:v>6800000</x:v>
      </x:c>
    </x:row>
    <x:row r="7">
      <x:c r="A7" t="n">
        <x:v>4</x:v>
      </x:c>
      <x:c r="B7" s="44" t="n">
        <x:f>E6</x:f>
        <x:v>2226607.125</x:v>
      </x:c>
      <x:c r="C7" s="42" t="n">
        <x:f>PNL_12M!G7</x:f>
        <x:v>-64990.850000000326</x:v>
      </x:c>
      <x:c r="D7" s="44" t="n">
        <x:v>0</x:v>
      </x:c>
      <x:c r="E7" s="44" t="n">
        <x:f>B7+C7</x:f>
        <x:v>2161616.2749999994</x:v>
      </x:c>
      <x:c r="F7" s="42" t="n">
        <x:f>UNIT_TEST!B16*3</x:f>
        <x:v>2985000</x:v>
      </x:c>
    </x:row>
    <x:row r="8">
      <x:c r="A8" t="n">
        <x:v>5</x:v>
      </x:c>
      <x:c r="B8" s="44" t="n">
        <x:f>E7</x:f>
        <x:v>2161616.2749999994</x:v>
      </x:c>
      <x:c r="C8" s="42" t="n">
        <x:f>PNL_12M!G8</x:f>
        <x:v>3058.5999999996275</x:v>
      </x:c>
      <x:c r="D8" s="44" t="n">
        <x:v>0</x:v>
      </x:c>
      <x:c r="E8" s="44" t="n">
        <x:f>B8+C8</x:f>
        <x:v>2164674.874999999</x:v>
      </x:c>
      <x:c r="F8" s="42" t="n">
        <x:f>UNIT_TEST!B16*3</x:f>
        <x:v>2985000</x:v>
      </x:c>
    </x:row>
    <x:row r="9">
      <x:c r="A9" t="n">
        <x:v>6</x:v>
      </x:c>
      <x:c r="B9" s="44" t="n">
        <x:f>E8</x:f>
        <x:v>2164674.874999999</x:v>
      </x:c>
      <x:c r="C9" s="42" t="n">
        <x:f>PNL_12M!G9</x:f>
        <x:v>59766.47499999963</x:v>
      </x:c>
      <x:c r="D9" s="44" t="n">
        <x:v>0</x:v>
      </x:c>
      <x:c r="E9" s="44" t="n">
        <x:f>B9+C9</x:f>
        <x:v>2224441.3499999987</x:v>
      </x:c>
      <x:c r="F9" s="42" t="n">
        <x:f>UNIT_TEST!B16*3</x:f>
        <x:v>2985000</x:v>
      </x:c>
    </x:row>
    <x:row r="10">
      <x:c r="A10" t="n">
        <x:v>7</x:v>
      </x:c>
      <x:c r="B10" s="44" t="n">
        <x:f>E9</x:f>
        <x:v>2224441.3499999987</x:v>
      </x:c>
      <x:c r="C10" s="42" t="n">
        <x:f>PNL_12M!G10</x:f>
        <x:v>105132.77499999967</x:v>
      </x:c>
      <x:c r="D10" s="44" t="n">
        <x:v>0</x:v>
      </x:c>
      <x:c r="E10" s="44" t="n">
        <x:f>B10+C10</x:f>
        <x:v>2329574.124999998</x:v>
      </x:c>
      <x:c r="F10" s="42" t="n">
        <x:f>UNIT_TEST!B16*3</x:f>
        <x:v>2985000</x:v>
      </x:c>
    </x:row>
    <x:row r="11">
      <x:c r="A11" t="n">
        <x:v>8</x:v>
      </x:c>
      <x:c r="B11" s="44" t="n">
        <x:f>E10</x:f>
        <x:v>2329574.124999998</x:v>
      </x:c>
      <x:c r="C11" s="42" t="n">
        <x:f>PNL_12M!G11</x:f>
        <x:v>139157.49999999953</x:v>
      </x:c>
      <x:c r="D11" s="44" t="n">
        <x:v>0</x:v>
      </x:c>
      <x:c r="E11" s="44" t="n">
        <x:f>B11+C11</x:f>
        <x:v>2468731.6249999977</x:v>
      </x:c>
      <x:c r="F11" s="42" t="n">
        <x:f>UNIT_TEST!B16*3</x:f>
        <x:v>2985000</x:v>
      </x:c>
    </x:row>
    <x:row r="12">
      <x:c r="A12" t="n">
        <x:v>9</x:v>
      </x:c>
      <x:c r="B12" s="44" t="n">
        <x:f>E11</x:f>
        <x:v>2468731.6249999977</x:v>
      </x:c>
      <x:c r="C12" s="42" t="n">
        <x:f>PNL_12M!G12</x:f>
        <x:v>139157.49999999953</x:v>
      </x:c>
      <x:c r="D12" s="44" t="n">
        <x:v>0</x:v>
      </x:c>
      <x:c r="E12" s="44" t="n">
        <x:f>B12+C12</x:f>
        <x:v>2607889.124999997</x:v>
      </x:c>
      <x:c r="F12" s="42" t="n">
        <x:f>UNIT_TEST!B16*3</x:f>
        <x:v>2985000</x:v>
      </x:c>
    </x:row>
    <x:row r="13">
      <x:c r="A13" t="n">
        <x:v>10</x:v>
      </x:c>
      <x:c r="B13" s="44" t="n">
        <x:f>E12</x:f>
        <x:v>2607889.124999997</x:v>
      </x:c>
      <x:c r="C13" s="42" t="n">
        <x:f>PNL_12M!G13</x:f>
        <x:v>161840.64999999967</x:v>
      </x:c>
      <x:c r="D13" s="44" t="n">
        <x:v>0</x:v>
      </x:c>
      <x:c r="E13" s="44" t="n">
        <x:f>B13+C13</x:f>
        <x:v>2769729.7749999966</x:v>
      </x:c>
      <x:c r="F13" s="42" t="n">
        <x:f>UNIT_TEST!B16*3</x:f>
        <x:v>2985000</x:v>
      </x:c>
    </x:row>
    <x:row r="14">
      <x:c r="A14" t="n">
        <x:v>11</x:v>
      </x:c>
      <x:c r="B14" s="44" t="n">
        <x:f>E13</x:f>
        <x:v>2769729.7749999966</x:v>
      </x:c>
      <x:c r="C14" s="42" t="n">
        <x:f>PNL_12M!G14</x:f>
        <x:v>173182.22499999963</x:v>
      </x:c>
      <x:c r="D14" s="44" t="n">
        <x:v>0</x:v>
      </x:c>
      <x:c r="E14" s="44" t="n">
        <x:f>B14+C14</x:f>
        <x:v>2942911.9999999963</x:v>
      </x:c>
      <x:c r="F14" s="42" t="n">
        <x:f>UNIT_TEST!B16*3</x:f>
        <x:v>2985000</x:v>
      </x:c>
    </x:row>
    <x:row r="15">
      <x:c r="A15" t="n">
        <x:v>12</x:v>
      </x:c>
      <x:c r="B15" s="44" t="n">
        <x:f>E14</x:f>
        <x:v>2942911.9999999963</x:v>
      </x:c>
      <x:c r="C15" s="42" t="n">
        <x:f>PNL_12M!G15</x:f>
        <x:v>195865.37499999953</x:v>
      </x:c>
      <x:c r="D15" s="44" t="n">
        <x:v>0</x:v>
      </x:c>
      <x:c r="E15" s="44" t="n">
        <x:f>B15+C15</x:f>
        <x:v>3138777.374999996</x:v>
      </x:c>
      <x:c r="F15" s="42" t="n">
        <x:f>UNIT_TEST!B16*3</x:f>
        <x:v>2985000</x:v>
      </x:c>
    </x:row>
  </x:sheetData>
  <x:mergeCells>
    <x:mergeCell ref="A1:F1"/>
  </x:mergeCells>
  <x:conditionalFormatting sqref="E4:E15">
    <x:cfRule type="expression" dxfId="0" priority="1">
      <x:formula>E4&lt;0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16" hidden="0" customWidth="1"/>
    <x:col min="4" max="4" width="52" hidden="0" customWidth="1"/>
  </x:cols>
  <x:sheetData>
    <x:row r="1" ht="28" customHeight="1">
      <x:c r="A1" s="5" t="str">
        <x:v>CAPACITY — ФИЗИЧЕСКАЯ ПРОПУСКНАЯ СПОСОБНОСТЬ</x:v>
      </x:c>
    </x:row>
    <x:row r="3">
      <x:c r="A3" s="19" t="str">
        <x:v>Параметр</x:v>
      </x:c>
      <x:c r="B3" s="19" t="str">
        <x:v>Значение</x:v>
      </x:c>
      <x:c r="C3" s="19" t="str">
        <x:v>Ед.</x:v>
      </x:c>
      <x:c r="D3" s="19" t="str">
        <x:v>Комментарий</x:v>
      </x:c>
    </x:row>
    <x:row r="4">
      <x:c r="A4" s="13" t="str">
        <x:v>Кассовых/сервисных мест</x:v>
      </x:c>
      <x:c r="B4" s="30" t="n">
        <x:v>2</x:v>
      </x:c>
      <x:c r="C4" s="13" t="str">
        <x:v>шт.</x:v>
      </x:c>
      <x:c r="D4" s="13" t="str">
        <x:v>Сценарно</x:v>
      </x:c>
    </x:row>
    <x:row r="5">
      <x:c r="A5" s="13" t="str">
        <x:v>Часов работы в день</x:v>
      </x:c>
      <x:c r="B5" s="30" t="n">
        <x:v>14</x:v>
      </x:c>
      <x:c r="C5" s="13" t="str">
        <x:v>ч.</x:v>
      </x:c>
      <x:c r="D5" s="13" t="str">
        <x:v>Сценарно</x:v>
      </x:c>
    </x:row>
    <x:row r="6">
      <x:c r="A6" s="13" t="str">
        <x:v>Среднее время на чек</x:v>
      </x:c>
      <x:c r="B6" s="30" t="n">
        <x:v>3.5</x:v>
      </x:c>
      <x:c r="C6" s="13" t="str">
        <x:v>мин.</x:v>
      </x:c>
      <x:c r="D6" s="13" t="str">
        <x:v>Сценарно</x:v>
      </x:c>
    </x:row>
    <x:row r="7">
      <x:c r="A7" s="13" t="str">
        <x:v>Целевая загрузка мощности</x:v>
      </x:c>
      <x:c r="B7" s="80" t="n">
        <x:v>0.75</x:v>
      </x:c>
      <x:c r="C7" s="13" t="str">
        <x:v>%</x:v>
      </x:c>
      <x:c r="D7" s="13" t="str">
        <x:v>Сценарно — оставляет резерв для пиков</x:v>
      </x:c>
    </x:row>
    <x:row r="8">
      <x:c r="A8" s="13"/>
      <x:c r="B8" s="13"/>
      <x:c r="C8" s="13"/>
      <x:c r="D8" s="13"/>
    </x:row>
    <x:row r="9">
      <x:c r="A9" s="19" t="str">
        <x:v>Расчёт</x:v>
      </x:c>
      <x:c r="B9" s="19" t="str">
        <x:v>Результат</x:v>
      </x:c>
      <x:c r="C9" s="19" t="str">
        <x:v>Ед.</x:v>
      </x:c>
      <x:c r="D9" s="19" t="str">
        <x:v>Смысл</x:v>
      </x:c>
    </x:row>
    <x:row r="10">
      <x:c r="A10" s="13" t="str">
        <x:v>Теоретическая мощность чеков/день</x:v>
      </x:c>
      <x:c r="B10" s="90" t="n">
        <x:f>B4*B5*60/B6</x:f>
        <x:v>480</x:v>
      </x:c>
      <x:c r="C10" s="13" t="str">
        <x:v>чеков/день</x:v>
      </x:c>
      <x:c r="D10" s="13" t="str">
        <x:v>места × часы × 60 / минуты</x:v>
      </x:c>
    </x:row>
    <x:row r="11">
      <x:c r="A11" s="13" t="str">
        <x:v>Рабочая мощность с резервом</x:v>
      </x:c>
      <x:c r="B11" s="90" t="n">
        <x:f>B10*B7</x:f>
        <x:v>360</x:v>
      </x:c>
      <x:c r="C11" s="13" t="str">
        <x:v>чеков/день</x:v>
      </x:c>
      <x:c r="D11" s="13" t="str">
        <x:v>теоретическая × целевая загрузка</x:v>
      </x:c>
    </x:row>
    <x:row r="12">
      <x:c r="A12" s="13" t="str">
        <x:v>Плановые офлайн-чеки</x:v>
      </x:c>
      <x:c r="B12" s="90" t="n">
        <x:f>UNIT_TEST!B4</x:f>
        <x:v>165</x:v>
      </x:c>
      <x:c r="C12" s="13" t="str">
        <x:v>чеков/день</x:v>
      </x:c>
      <x:c r="D12" s="13" t="str">
        <x:v>из UNIT_TEST</x:v>
      </x:c>
    </x:row>
    <x:row r="13">
      <x:c r="A13" s="13" t="str">
        <x:v>Использование рабочей мощности</x:v>
      </x:c>
      <x:c r="B13" s="91" t="n">
        <x:f>IFERROR(B12/B11,0)</x:f>
        <x:v>0.4583333333333333</x:v>
      </x:c>
      <x:c r="C13" s="13" t="str">
        <x:v>%</x:v>
      </x:c>
      <x:c r="D13" s="13" t="str">
        <x:v>план / рабочая мощность</x:v>
      </x:c>
    </x:row>
    <x:row r="14">
      <x:c r="A14" s="13" t="str">
        <x:v>Статус</x:v>
      </x:c>
      <x:c r="B14" s="13" t="str">
        <x:f>IF(B13&lt;=INPUTS!B26,"PASS","OVERLOAD")</x:f>
        <x:v>PASS</x:v>
      </x:c>
      <x:c r="C14" s="13" t="str"/>
      <x:c r="D14" s="13" t="str">
        <x:v>PASS если &lt;= порога INPUTS</x:v>
      </x:c>
    </x:row>
  </x:sheetData>
  <x:mergeCells>
    <x:mergeCell ref="A1:D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" hidden="0" customWidth="1"/>
    <x:col min="3" max="3" width="14" hidden="0" customWidth="1"/>
    <x:col min="4" max="4" width="18" hidden="0" customWidth="1"/>
    <x:col min="5" max="5" width="44" hidden="0" customWidth="1"/>
    <x:col min="6" max="6" width="30" hidden="0" customWidth="1"/>
  </x:cols>
  <x:sheetData>
    <x:row r="1" ht="28" customHeight="1">
      <x:c r="A1" s="5" t="str">
        <x:v>LOCATION GATE — ОЦЕНКА ДО ПОДПИСАНИЯ АРЕНДЫ</x:v>
      </x:c>
    </x:row>
    <x:row r="3">
      <x:c r="A3" s="19" t="str">
        <x:v>Фактор</x:v>
      </x:c>
      <x:c r="B3" s="19" t="str">
        <x:v>Вес</x:v>
      </x:c>
      <x:c r="C3" s="19" t="str">
        <x:v>Оценка 1–5</x:v>
      </x:c>
      <x:c r="D3" s="19" t="str">
        <x:v>Взвешенный балл</x:v>
      </x:c>
      <x:c r="E3" s="19" t="str">
        <x:v>Что проверить</x:v>
      </x:c>
      <x:c r="F3" s="19" t="str">
        <x:v>Комментарий</x:v>
      </x:c>
    </x:row>
    <x:row r="4">
      <x:c r="A4" s="13" t="str">
        <x:v>Целевой пешеходный трафик</x:v>
      </x:c>
      <x:c r="B4" s="80" t="n">
        <x:v>0.2</x:v>
      </x:c>
      <x:c r="C4" s="96" t="n">
        <x:v>4</x:v>
      </x:c>
      <x:c r="D4" s="56" t="n">
        <x:f>B4*C4*20</x:f>
        <x:v>16</x:v>
      </x:c>
      <x:c r="E4" s="13" t="str">
        <x:v>Замеры по часам, будни/выходные</x:v>
      </x:c>
      <x:c r="F4" s="13" t="str"/>
    </x:row>
    <x:row r="5">
      <x:c r="A5" s="13" t="str">
        <x:v>Обеденный/вечерний спрос</x:v>
      </x:c>
      <x:c r="B5" s="80" t="n">
        <x:v>0.14</x:v>
      </x:c>
      <x:c r="C5" s="96" t="n">
        <x:v>4</x:v>
      </x:c>
      <x:c r="D5" s="56" t="n">
        <x:f>B5*C5*20</x:f>
        <x:v>11.200000000000001</x:v>
      </x:c>
      <x:c r="E5" s="13" t="str">
        <x:v>Офисы, жильё, вузы, сценарии еды</x:v>
      </x:c>
      <x:c r="F5" s="13" t="str"/>
    </x:row>
    <x:row r="6">
      <x:c r="A6" s="13" t="str">
        <x:v>Видимость и удобство входа</x:v>
      </x:c>
      <x:c r="B6" s="80" t="n">
        <x:v>0.12</x:v>
      </x:c>
      <x:c r="C6" s="96" t="n">
        <x:v>3</x:v>
      </x:c>
      <x:c r="D6" s="56" t="n">
        <x:f>B6*C6*20</x:f>
        <x:v>7.199999999999999</x:v>
      </x:c>
      <x:c r="E6" s="13" t="str">
        <x:v>Сторона потока, барьеры</x:v>
      </x:c>
      <x:c r="F6" s="13" t="str"/>
    </x:row>
    <x:row r="7">
      <x:c r="A7" s="13" t="str">
        <x:v>Конкурентная позиция</x:v>
      </x:c>
      <x:c r="B7" s="80" t="n">
        <x:v>0.12</x:v>
      </x:c>
      <x:c r="C7" s="96" t="n">
        <x:v>3</x:v>
      </x:c>
      <x:c r="D7" s="56" t="n">
        <x:f>B7*C7*20</x:f>
        <x:v>7.199999999999999</x:v>
      </x:c>
      <x:c r="E7" s="13" t="str">
        <x:v>Сети, кафе, пекарни, доставка</x:v>
      </x:c>
      <x:c r="F7" s="13" t="str"/>
    </x:row>
    <x:row r="8">
      <x:c r="A8" s="13" t="str">
        <x:v>Арендная нагрузка</x:v>
      </x:c>
      <x:c r="B8" s="80" t="n">
        <x:v>0.14</x:v>
      </x:c>
      <x:c r="C8" s="96" t="n">
        <x:v>4</x:v>
      </x:c>
      <x:c r="D8" s="56" t="n">
        <x:f>B8*C8*20</x:f>
        <x:v>11.200000000000001</x:v>
      </x:c>
      <x:c r="E8" s="13" t="str">
        <x:v>Аренда + эксплуатация / стресс-выручка</x:v>
      </x:c>
      <x:c r="F8" s="13" t="str"/>
    </x:row>
    <x:row r="9">
      <x:c r="A9" s="13" t="str">
        <x:v>Доставка и радиус</x:v>
      </x:c>
      <x:c r="B9" s="80" t="n">
        <x:v>0.08</x:v>
      </x:c>
      <x:c r="C9" s="96" t="n">
        <x:v>3</x:v>
      </x:c>
      <x:c r="D9" s="56" t="n">
        <x:f>B9*C9*20</x:f>
        <x:v>4.8</x:v>
      </x:c>
      <x:c r="E9" s="13" t="str">
        <x:v>Курьеры, плотность заказов</x:v>
      </x:c>
      <x:c r="F9" s="13" t="str"/>
    </x:row>
    <x:row r="10">
      <x:c r="A10" s="13" t="str">
        <x:v>Разгрузка и логистика</x:v>
      </x:c>
      <x:c r="B10" s="80" t="n">
        <x:v>0.07</x:v>
      </x:c>
      <x:c r="C10" s="96" t="n">
        <x:v>4</x:v>
      </x:c>
      <x:c r="D10" s="56" t="n">
        <x:f>B10*C10*20</x:f>
        <x:v>5.6000000000000005</x:v>
      </x:c>
      <x:c r="E10" s="13" t="str">
        <x:v>Окна поставки, хранение</x:v>
      </x:c>
      <x:c r="F10" s="13" t="str"/>
    </x:row>
    <x:row r="11">
      <x:c r="A11" s="13" t="str">
        <x:v>Инженерия помещения</x:v>
      </x:c>
      <x:c r="B11" s="80" t="n">
        <x:v>0.07</x:v>
      </x:c>
      <x:c r="C11" s="96" t="n">
        <x:v>4</x:v>
      </x:c>
      <x:c r="D11" s="56" t="n">
        <x:f>B11*C11*20</x:f>
        <x:v>5.6000000000000005</x:v>
      </x:c>
      <x:c r="E11" s="13" t="str">
        <x:v>Мощность, холод, вентиляция</x:v>
      </x:c>
      <x:c r="F11" s="13" t="str"/>
    </x:row>
    <x:row r="12">
      <x:c r="A12" s="13" t="str">
        <x:v>Условия выхода из аренды</x:v>
      </x:c>
      <x:c r="B12" s="80" t="n">
        <x:v>0.06</x:v>
      </x:c>
      <x:c r="C12" s="96" t="n">
        <x:v>3</x:v>
      </x:c>
      <x:c r="D12" s="56" t="n">
        <x:f>B12*C12*20</x:f>
        <x:v>3.5999999999999996</x:v>
      </x:c>
      <x:c r="E12" s="13" t="str">
        <x:v>Депозит, штрафы, срок</x:v>
      </x:c>
      <x:c r="F12" s="13" t="str"/>
    </x:row>
    <x:row r="13">
      <x:c r="A13" s="13"/>
      <x:c r="B13" s="13"/>
      <x:c r="C13" s="90"/>
      <x:c r="D13" s="56"/>
      <x:c r="E13" s="13"/>
      <x:c r="F13" s="13"/>
    </x:row>
    <x:row r="14">
      <x:c r="A14" s="13" t="str">
        <x:v>ИТОГО</x:v>
      </x:c>
      <x:c r="B14" s="13" t="n">
        <x:v>1</x:v>
      </x:c>
      <x:c r="C14" s="90" t="str"/>
      <x:c r="D14" s="56" t="n">
        <x:f>SUM(D4:D12)</x:f>
        <x:v>72.4</x:v>
      </x:c>
      <x:c r="E14" s="13"/>
      <x:c r="F14" s="13"/>
    </x:row>
    <x:row r="15">
      <x:c r="A15" s="13" t="str">
        <x:v>Статус</x:v>
      </x:c>
      <x:c r="B15" s="13" t="str"/>
      <x:c r="C15" s="13" t="str"/>
      <x:c r="D15" s="81" t="str">
        <x:f>IF(D14&gt;=INPUTS!B27,"PASS","RECHECK")</x:f>
        <x:v>PASS</x:v>
      </x:c>
      <x:c r="E15" s="13"/>
      <x:c r="F15" s="13"/>
    </x:row>
  </x:sheetData>
  <x:mergeCells>
    <x:mergeCell ref="A1:F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2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12" hidden="0" customWidth="1"/>
    <x:col min="9" max="9" width="20" hidden="0" customWidth="1"/>
    <x:col min="10" max="10" width="16" hidden="0" customWidth="1"/>
  </x:cols>
  <x:sheetData>
    <x:row r="1" ht="28" customHeight="1">
      <x:c r="A1" s="5" t="str">
        <x:v>АССОРТИМЕНТ И СПИСАНИЯ — ВКЛАД ВАЖНЕЕ ВЫРУЧКИ</x:v>
      </x:c>
    </x:row>
    <x:row r="3">
      <x:c r="A3" s="19" t="str">
        <x:v>Категория/SKU</x:v>
      </x:c>
      <x:c r="B3" s="19" t="str">
        <x:v>Продажи ₽/мес.</x:v>
      </x:c>
      <x:c r="C3" s="19" t="str">
        <x:v>Закупка %</x:v>
      </x:c>
      <x:c r="D3" s="19" t="str">
        <x:v>Списания %</x:v>
      </x:c>
      <x:c r="E3" s="19" t="str">
        <x:v>Закупка ₽</x:v>
      </x:c>
      <x:c r="F3" s="19" t="str">
        <x:v>Списания ₽</x:v>
      </x:c>
      <x:c r="G3" s="19" t="str">
        <x:v>Вклад ₽</x:v>
      </x:c>
      <x:c r="H3" s="19" t="str">
        <x:v>Вклад %</x:v>
      </x:c>
      <x:c r="I3" s="19" t="str">
        <x:v>Резерв поставщика</x:v>
      </x:c>
      <x:c r="J3" s="19" t="str">
        <x:v>Решение</x:v>
      </x:c>
    </x:row>
    <x:row r="4">
      <x:c r="A4" s="24" t="str"/>
      <x:c r="B4" s="28" t="n">
        <x:v>0</x:v>
      </x:c>
      <x:c r="C4" s="78" t="n">
        <x:v>0.5</x:v>
      </x:c>
      <x:c r="D4" s="78" t="n">
        <x:v>0.05</x:v>
      </x:c>
      <x:c r="E4" s="84" t="n">
        <x:f>B4*C4</x:f>
        <x:v>0</x:v>
      </x:c>
      <x:c r="F4" s="84" t="n">
        <x:f>B4*D4</x:f>
        <x:v>0</x:v>
      </x:c>
      <x:c r="G4" s="84" t="n">
        <x:f>B4-E4-F4</x:f>
        <x:v>0</x:v>
      </x:c>
      <x:c r="H4" s="88" t="n">
        <x:f>IFERROR(G4/B4,0)</x:f>
        <x:v>0</x:v>
      </x:c>
      <x:c r="I4" t="str">
        <x:v>Не проверен</x:v>
      </x:c>
      <x:c r="J4" t="str">
        <x:v>—</x:v>
      </x:c>
    </x:row>
    <x:row r="5">
      <x:c r="A5" s="24" t="str"/>
      <x:c r="B5" s="28" t="n">
        <x:v>0</x:v>
      </x:c>
      <x:c r="C5" s="78" t="n">
        <x:v>0.5</x:v>
      </x:c>
      <x:c r="D5" s="78" t="n">
        <x:v>0.05</x:v>
      </x:c>
      <x:c r="E5" s="84" t="n">
        <x:f>B5*C5</x:f>
        <x:v>0</x:v>
      </x:c>
      <x:c r="F5" s="84" t="n">
        <x:f>B5*D5</x:f>
        <x:v>0</x:v>
      </x:c>
      <x:c r="G5" s="84" t="n">
        <x:f>B5-E5-F5</x:f>
        <x:v>0</x:v>
      </x:c>
      <x:c r="H5" s="88" t="n">
        <x:f>IFERROR(G5/B5,0)</x:f>
        <x:v>0</x:v>
      </x:c>
      <x:c r="I5" t="str">
        <x:v>Не проверен</x:v>
      </x:c>
      <x:c r="J5" t="str">
        <x:v>—</x:v>
      </x:c>
    </x:row>
    <x:row r="6">
      <x:c r="A6" s="24" t="str"/>
      <x:c r="B6" s="28" t="n">
        <x:v>0</x:v>
      </x:c>
      <x:c r="C6" s="78" t="n">
        <x:v>0.5</x:v>
      </x:c>
      <x:c r="D6" s="78" t="n">
        <x:v>0.05</x:v>
      </x:c>
      <x:c r="E6" s="84" t="n">
        <x:f>B6*C6</x:f>
        <x:v>0</x:v>
      </x:c>
      <x:c r="F6" s="84" t="n">
        <x:f>B6*D6</x:f>
        <x:v>0</x:v>
      </x:c>
      <x:c r="G6" s="84" t="n">
        <x:f>B6-E6-F6</x:f>
        <x:v>0</x:v>
      </x:c>
      <x:c r="H6" s="88" t="n">
        <x:f>IFERROR(G6/B6,0)</x:f>
        <x:v>0</x:v>
      </x:c>
      <x:c r="I6" t="str">
        <x:v>Не проверен</x:v>
      </x:c>
      <x:c r="J6" t="str">
        <x:v>—</x:v>
      </x:c>
    </x:row>
    <x:row r="7">
      <x:c r="A7" s="24" t="str"/>
      <x:c r="B7" s="28" t="n">
        <x:v>0</x:v>
      </x:c>
      <x:c r="C7" s="78" t="n">
        <x:v>0.5</x:v>
      </x:c>
      <x:c r="D7" s="78" t="n">
        <x:v>0.05</x:v>
      </x:c>
      <x:c r="E7" s="84" t="n">
        <x:f>B7*C7</x:f>
        <x:v>0</x:v>
      </x:c>
      <x:c r="F7" s="84" t="n">
        <x:f>B7*D7</x:f>
        <x:v>0</x:v>
      </x:c>
      <x:c r="G7" s="84" t="n">
        <x:f>B7-E7-F7</x:f>
        <x:v>0</x:v>
      </x:c>
      <x:c r="H7" s="88" t="n">
        <x:f>IFERROR(G7/B7,0)</x:f>
        <x:v>0</x:v>
      </x:c>
      <x:c r="I7" t="str">
        <x:v>Не проверен</x:v>
      </x:c>
      <x:c r="J7" t="str">
        <x:v>—</x:v>
      </x:c>
    </x:row>
    <x:row r="8">
      <x:c r="A8" s="24" t="str"/>
      <x:c r="B8" s="28" t="n">
        <x:v>0</x:v>
      </x:c>
      <x:c r="C8" s="78" t="n">
        <x:v>0.5</x:v>
      </x:c>
      <x:c r="D8" s="78" t="n">
        <x:v>0.05</x:v>
      </x:c>
      <x:c r="E8" s="84" t="n">
        <x:f>B8*C8</x:f>
        <x:v>0</x:v>
      </x:c>
      <x:c r="F8" s="84" t="n">
        <x:f>B8*D8</x:f>
        <x:v>0</x:v>
      </x:c>
      <x:c r="G8" s="84" t="n">
        <x:f>B8-E8-F8</x:f>
        <x:v>0</x:v>
      </x:c>
      <x:c r="H8" s="88" t="n">
        <x:f>IFERROR(G8/B8,0)</x:f>
        <x:v>0</x:v>
      </x:c>
      <x:c r="I8" t="str">
        <x:v>Не проверен</x:v>
      </x:c>
      <x:c r="J8" t="str">
        <x:v>—</x:v>
      </x:c>
    </x:row>
    <x:row r="9">
      <x:c r="A9" s="24" t="str"/>
      <x:c r="B9" s="28" t="n">
        <x:v>0</x:v>
      </x:c>
      <x:c r="C9" s="78" t="n">
        <x:v>0.5</x:v>
      </x:c>
      <x:c r="D9" s="78" t="n">
        <x:v>0.05</x:v>
      </x:c>
      <x:c r="E9" s="84" t="n">
        <x:f>B9*C9</x:f>
        <x:v>0</x:v>
      </x:c>
      <x:c r="F9" s="84" t="n">
        <x:f>B9*D9</x:f>
        <x:v>0</x:v>
      </x:c>
      <x:c r="G9" s="84" t="n">
        <x:f>B9-E9-F9</x:f>
        <x:v>0</x:v>
      </x:c>
      <x:c r="H9" s="88" t="n">
        <x:f>IFERROR(G9/B9,0)</x:f>
        <x:v>0</x:v>
      </x:c>
      <x:c r="I9" t="str">
        <x:v>Не проверен</x:v>
      </x:c>
      <x:c r="J9" t="str">
        <x:v>—</x:v>
      </x:c>
    </x:row>
    <x:row r="10">
      <x:c r="A10" s="24" t="str"/>
      <x:c r="B10" s="28" t="n">
        <x:v>0</x:v>
      </x:c>
      <x:c r="C10" s="78" t="n">
        <x:v>0.5</x:v>
      </x:c>
      <x:c r="D10" s="78" t="n">
        <x:v>0.05</x:v>
      </x:c>
      <x:c r="E10" s="84" t="n">
        <x:f>B10*C10</x:f>
        <x:v>0</x:v>
      </x:c>
      <x:c r="F10" s="84" t="n">
        <x:f>B10*D10</x:f>
        <x:v>0</x:v>
      </x:c>
      <x:c r="G10" s="84" t="n">
        <x:f>B10-E10-F10</x:f>
        <x:v>0</x:v>
      </x:c>
      <x:c r="H10" s="88" t="n">
        <x:f>IFERROR(G10/B10,0)</x:f>
        <x:v>0</x:v>
      </x:c>
      <x:c r="I10" t="str">
        <x:v>Не проверен</x:v>
      </x:c>
      <x:c r="J10" t="str">
        <x:v>—</x:v>
      </x:c>
    </x:row>
    <x:row r="11">
      <x:c r="A11" s="24" t="str"/>
      <x:c r="B11" s="28" t="n">
        <x:v>0</x:v>
      </x:c>
      <x:c r="C11" s="78" t="n">
        <x:v>0.5</x:v>
      </x:c>
      <x:c r="D11" s="78" t="n">
        <x:v>0.05</x:v>
      </x:c>
      <x:c r="E11" s="84" t="n">
        <x:f>B11*C11</x:f>
        <x:v>0</x:v>
      </x:c>
      <x:c r="F11" s="84" t="n">
        <x:f>B11*D11</x:f>
        <x:v>0</x:v>
      </x:c>
      <x:c r="G11" s="84" t="n">
        <x:f>B11-E11-F11</x:f>
        <x:v>0</x:v>
      </x:c>
      <x:c r="H11" s="88" t="n">
        <x:f>IFERROR(G11/B11,0)</x:f>
        <x:v>0</x:v>
      </x:c>
      <x:c r="I11" t="str">
        <x:v>Не проверен</x:v>
      </x:c>
      <x:c r="J11" t="str">
        <x:v>—</x:v>
      </x:c>
    </x:row>
    <x:row r="12">
      <x:c r="A12" s="24" t="str"/>
      <x:c r="B12" s="28" t="n">
        <x:v>0</x:v>
      </x:c>
      <x:c r="C12" s="78" t="n">
        <x:v>0.5</x:v>
      </x:c>
      <x:c r="D12" s="78" t="n">
        <x:v>0.05</x:v>
      </x:c>
      <x:c r="E12" s="84" t="n">
        <x:f>B12*C12</x:f>
        <x:v>0</x:v>
      </x:c>
      <x:c r="F12" s="84" t="n">
        <x:f>B12*D12</x:f>
        <x:v>0</x:v>
      </x:c>
      <x:c r="G12" s="84" t="n">
        <x:f>B12-E12-F12</x:f>
        <x:v>0</x:v>
      </x:c>
      <x:c r="H12" s="88" t="n">
        <x:f>IFERROR(G12/B12,0)</x:f>
        <x:v>0</x:v>
      </x:c>
      <x:c r="I12" t="str">
        <x:v>Не проверен</x:v>
      </x:c>
      <x:c r="J12" t="str">
        <x:v>—</x:v>
      </x:c>
    </x:row>
    <x:row r="13">
      <x:c r="A13" s="24" t="str"/>
      <x:c r="B13" s="28" t="n">
        <x:v>0</x:v>
      </x:c>
      <x:c r="C13" s="78" t="n">
        <x:v>0.5</x:v>
      </x:c>
      <x:c r="D13" s="78" t="n">
        <x:v>0.05</x:v>
      </x:c>
      <x:c r="E13" s="84" t="n">
        <x:f>B13*C13</x:f>
        <x:v>0</x:v>
      </x:c>
      <x:c r="F13" s="84" t="n">
        <x:f>B13*D13</x:f>
        <x:v>0</x:v>
      </x:c>
      <x:c r="G13" s="84" t="n">
        <x:f>B13-E13-F13</x:f>
        <x:v>0</x:v>
      </x:c>
      <x:c r="H13" s="88" t="n">
        <x:f>IFERROR(G13/B13,0)</x:f>
        <x:v>0</x:v>
      </x:c>
      <x:c r="I13" t="str">
        <x:v>Не проверен</x:v>
      </x:c>
      <x:c r="J13" t="str">
        <x:v>—</x:v>
      </x:c>
    </x:row>
    <x:row r="14">
      <x:c r="A14" s="24" t="str"/>
      <x:c r="B14" s="28" t="n">
        <x:v>0</x:v>
      </x:c>
      <x:c r="C14" s="78" t="n">
        <x:v>0.5</x:v>
      </x:c>
      <x:c r="D14" s="78" t="n">
        <x:v>0.05</x:v>
      </x:c>
      <x:c r="E14" s="84" t="n">
        <x:f>B14*C14</x:f>
        <x:v>0</x:v>
      </x:c>
      <x:c r="F14" s="84" t="n">
        <x:f>B14*D14</x:f>
        <x:v>0</x:v>
      </x:c>
      <x:c r="G14" s="84" t="n">
        <x:f>B14-E14-F14</x:f>
        <x:v>0</x:v>
      </x:c>
      <x:c r="H14" s="88" t="n">
        <x:f>IFERROR(G14/B14,0)</x:f>
        <x:v>0</x:v>
      </x:c>
      <x:c r="I14" t="str">
        <x:v>Не проверен</x:v>
      </x:c>
      <x:c r="J14" t="str">
        <x:v>—</x:v>
      </x:c>
    </x:row>
    <x:row r="15">
      <x:c r="A15" s="24" t="str"/>
      <x:c r="B15" s="28" t="n">
        <x:v>0</x:v>
      </x:c>
      <x:c r="C15" s="78" t="n">
        <x:v>0.5</x:v>
      </x:c>
      <x:c r="D15" s="78" t="n">
        <x:v>0.05</x:v>
      </x:c>
      <x:c r="E15" s="84" t="n">
        <x:f>B15*C15</x:f>
        <x:v>0</x:v>
      </x:c>
      <x:c r="F15" s="84" t="n">
        <x:f>B15*D15</x:f>
        <x:v>0</x:v>
      </x:c>
      <x:c r="G15" s="84" t="n">
        <x:f>B15-E15-F15</x:f>
        <x:v>0</x:v>
      </x:c>
      <x:c r="H15" s="88" t="n">
        <x:f>IFERROR(G15/B15,0)</x:f>
        <x:v>0</x:v>
      </x:c>
      <x:c r="I15" t="str">
        <x:v>Не проверен</x:v>
      </x:c>
      <x:c r="J15" t="str">
        <x:v>—</x:v>
      </x:c>
    </x:row>
    <x:row r="16">
      <x:c r="A16" s="24" t="str"/>
      <x:c r="B16" s="28" t="n">
        <x:v>0</x:v>
      </x:c>
      <x:c r="C16" s="78" t="n">
        <x:v>0.5</x:v>
      </x:c>
      <x:c r="D16" s="78" t="n">
        <x:v>0.05</x:v>
      </x:c>
      <x:c r="E16" s="84" t="n">
        <x:f>B16*C16</x:f>
        <x:v>0</x:v>
      </x:c>
      <x:c r="F16" s="84" t="n">
        <x:f>B16*D16</x:f>
        <x:v>0</x:v>
      </x:c>
      <x:c r="G16" s="84" t="n">
        <x:f>B16-E16-F16</x:f>
        <x:v>0</x:v>
      </x:c>
      <x:c r="H16" s="88" t="n">
        <x:f>IFERROR(G16/B16,0)</x:f>
        <x:v>0</x:v>
      </x:c>
      <x:c r="I16" t="str">
        <x:v>Не проверен</x:v>
      </x:c>
      <x:c r="J16" t="str">
        <x:v>—</x:v>
      </x:c>
    </x:row>
    <x:row r="17">
      <x:c r="A17" s="24" t="str"/>
      <x:c r="B17" s="28" t="n">
        <x:v>0</x:v>
      </x:c>
      <x:c r="C17" s="78" t="n">
        <x:v>0.5</x:v>
      </x:c>
      <x:c r="D17" s="78" t="n">
        <x:v>0.05</x:v>
      </x:c>
      <x:c r="E17" s="84" t="n">
        <x:f>B17*C17</x:f>
        <x:v>0</x:v>
      </x:c>
      <x:c r="F17" s="84" t="n">
        <x:f>B17*D17</x:f>
        <x:v>0</x:v>
      </x:c>
      <x:c r="G17" s="84" t="n">
        <x:f>B17-E17-F17</x:f>
        <x:v>0</x:v>
      </x:c>
      <x:c r="H17" s="88" t="n">
        <x:f>IFERROR(G17/B17,0)</x:f>
        <x:v>0</x:v>
      </x:c>
      <x:c r="I17" t="str">
        <x:v>Не проверен</x:v>
      </x:c>
      <x:c r="J17" t="str">
        <x:v>—</x:v>
      </x:c>
    </x:row>
    <x:row r="18">
      <x:c r="A18" s="24" t="str"/>
      <x:c r="B18" s="28" t="n">
        <x:v>0</x:v>
      </x:c>
      <x:c r="C18" s="78" t="n">
        <x:v>0.5</x:v>
      </x:c>
      <x:c r="D18" s="78" t="n">
        <x:v>0.05</x:v>
      </x:c>
      <x:c r="E18" s="84" t="n">
        <x:f>B18*C18</x:f>
        <x:v>0</x:v>
      </x:c>
      <x:c r="F18" s="84" t="n">
        <x:f>B18*D18</x:f>
        <x:v>0</x:v>
      </x:c>
      <x:c r="G18" s="84" t="n">
        <x:f>B18-E18-F18</x:f>
        <x:v>0</x:v>
      </x:c>
      <x:c r="H18" s="88" t="n">
        <x:f>IFERROR(G18/B18,0)</x:f>
        <x:v>0</x:v>
      </x:c>
      <x:c r="I18" t="str">
        <x:v>Не проверен</x:v>
      </x:c>
      <x:c r="J18" t="str">
        <x:v>—</x:v>
      </x:c>
    </x:row>
  </x:sheetData>
  <x:mergeCells>
    <x:mergeCell ref="A1:J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0" hidden="0" customWidth="1"/>
    <x:col min="3" max="3" width="14" hidden="0" customWidth="1"/>
    <x:col min="4" max="4" width="14" hidden="0" customWidth="1"/>
    <x:col min="5" max="5" width="48" hidden="0" customWidth="1"/>
  </x:cols>
  <x:sheetData>
    <x:row r="1" ht="28" customHeight="1">
      <x:c r="A1" s="5" t="str">
        <x:v>SUPPLIER QA — РИСК ПОСТАВЩИКА КАК РИСК БРЕНДА</x:v>
      </x:c>
    </x:row>
    <x:row r="3">
      <x:c r="A3" s="19" t="str">
        <x:v>Критерий</x:v>
      </x:c>
      <x:c r="B3" s="19" t="str">
        <x:v>Вес</x:v>
      </x:c>
      <x:c r="C3" s="19" t="str">
        <x:v>Оценка 1–5</x:v>
      </x:c>
      <x:c r="D3" s="19" t="str">
        <x:v>Баллы</x:v>
      </x:c>
      <x:c r="E3" s="19" t="str">
        <x:v>Сигнал тревоги</x:v>
      </x:c>
    </x:row>
    <x:row r="4">
      <x:c r="A4" s="13" t="str">
        <x:v>Стабильность качества</x:v>
      </x:c>
      <x:c r="B4" s="80" t="n">
        <x:v>0.25</x:v>
      </x:c>
      <x:c r="C4" s="96" t="n">
        <x:v>4</x:v>
      </x:c>
      <x:c r="D4" s="90" t="n">
        <x:f>B4*C4*20</x:f>
        <x:v>20</x:v>
      </x:c>
      <x:c r="E4" s="13" t="str">
        <x:v>Повторная рекламация / несоответствие</x:v>
      </x:c>
    </x:row>
    <x:row r="5">
      <x:c r="A5" s="13" t="str">
        <x:v>Срок и температура поставки</x:v>
      </x:c>
      <x:c r="B5" s="80" t="n">
        <x:v>0.2</x:v>
      </x:c>
      <x:c r="C5" s="96" t="n">
        <x:v>4</x:v>
      </x:c>
      <x:c r="D5" s="90" t="n">
        <x:f>B5*C5*20</x:f>
        <x:v>16</x:v>
      </x:c>
      <x:c r="E5" s="13" t="str">
        <x:v>Нарушение холодовой цепи</x:v>
      </x:c>
    </x:row>
    <x:row r="6">
      <x:c r="A6" s="13" t="str">
        <x:v>Документы и прослеживаемость</x:v>
      </x:c>
      <x:c r="B6" s="80" t="n">
        <x:v>0.15</x:v>
      </x:c>
      <x:c r="C6" s="96" t="n">
        <x:v>4</x:v>
      </x:c>
      <x:c r="D6" s="90" t="n">
        <x:f>B6*C6*20</x:f>
        <x:v>12</x:v>
      </x:c>
      <x:c r="E6" s="13" t="str">
        <x:v>Нельзя быстро определить партию</x:v>
      </x:c>
    </x:row>
    <x:row r="7">
      <x:c r="A7" s="13" t="str">
        <x:v>OTIF поставки</x:v>
      </x:c>
      <x:c r="B7" s="80" t="n">
        <x:v>0.15</x:v>
      </x:c>
      <x:c r="C7" s="96" t="n">
        <x:v>4</x:v>
      </x:c>
      <x:c r="D7" s="90" t="n">
        <x:f>B7*C7*20</x:f>
        <x:v>12</x:v>
      </x:c>
      <x:c r="E7" s="13" t="str">
        <x:v>Срыв &gt;2 раз/месяц</x:v>
      </x:c>
    </x:row>
    <x:row r="8">
      <x:c r="A8" s="13" t="str">
        <x:v>Цена и условия</x:v>
      </x:c>
      <x:c r="B8" s="80" t="n">
        <x:v>0.1</x:v>
      </x:c>
      <x:c r="C8" s="96" t="n">
        <x:v>4</x:v>
      </x:c>
      <x:c r="D8" s="90" t="n">
        <x:f>B8*C8*20</x:f>
        <x:v>8</x:v>
      </x:c>
      <x:c r="E8" s="13" t="str">
        <x:v>Резкий рост без альтернативы</x:v>
      </x:c>
    </x:row>
    <x:row r="9">
      <x:c r="A9" s="13" t="str">
        <x:v>Реакция на инцидент</x:v>
      </x:c>
      <x:c r="B9" s="80" t="n">
        <x:v>0.15</x:v>
      </x:c>
      <x:c r="C9" s="96" t="n">
        <x:v>4</x:v>
      </x:c>
      <x:c r="D9" s="90" t="n">
        <x:f>B9*C9*20</x:f>
        <x:v>12</x:v>
      </x:c>
      <x:c r="E9" s="13" t="str">
        <x:v>Нет ответа/замены в SLA</x:v>
      </x:c>
    </x:row>
    <x:row r="10">
      <x:c r="A10" s="13"/>
      <x:c r="B10" s="13"/>
      <x:c r="C10" s="90"/>
      <x:c r="D10" s="90"/>
      <x:c r="E10" s="13"/>
    </x:row>
    <x:row r="11">
      <x:c r="A11" s="13" t="str">
        <x:v>ИТОГО</x:v>
      </x:c>
      <x:c r="B11" s="13" t="n">
        <x:v>1</x:v>
      </x:c>
      <x:c r="C11" s="90" t="str"/>
      <x:c r="D11" s="90" t="n">
        <x:f>SUM(D4:D9)</x:f>
        <x:v>80</x:v>
      </x:c>
      <x:c r="E11" s="13"/>
    </x:row>
    <x:row r="12">
      <x:c r="A12" s="13" t="str">
        <x:v>Статус</x:v>
      </x:c>
      <x:c r="B12" s="13" t="str"/>
      <x:c r="C12" s="13" t="str"/>
      <x:c r="D12" s="13" t="str">
        <x:f>IF(D11&gt;=INPUTS!B28,"PASS","RECHECK")</x:f>
        <x:v>PASS</x:v>
      </x:c>
      <x:c r="E12" s="13"/>
    </x:row>
  </x:sheetData>
  <x:mergeCells>
    <x:mergeCell ref="A1:E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4" hidden="0" customWidth="1"/>
    <x:col min="5" max="5" width="48" hidden="0" customWidth="1"/>
    <x:col min="6" max="6" width="32" hidden="0" customWidth="1"/>
  </x:cols>
  <x:sheetData>
    <x:row r="1" ht="28" customHeight="1">
      <x:c r="A1" s="5" t="str">
        <x:v>KPI / BENCHMARK — ЧТО СЧИТАТЬ ЕЖЕНЕДЕЛЬНО</x:v>
      </x:c>
    </x:row>
    <x:row r="3">
      <x:c r="A3" s="19" t="str">
        <x:v>KPI</x:v>
      </x:c>
      <x:c r="B3" s="19" t="str">
        <x:v>Факт</x:v>
      </x:c>
      <x:c r="C3" s="19" t="str">
        <x:v>Порог/цель</x:v>
      </x:c>
      <x:c r="D3" s="19" t="str">
        <x:v>Статус</x:v>
      </x:c>
      <x:c r="E3" s="19" t="str">
        <x:v>Почему важен</x:v>
      </x:c>
      <x:c r="F3" s="19" t="str">
        <x:v>Источник/логика</x:v>
      </x:c>
    </x:row>
    <x:row r="4">
      <x:c r="A4" s="13" t="str">
        <x:v>Операционная маржа</x:v>
      </x:c>
      <x:c r="B4" s="100" t="n">
        <x:f>UNIT_TEST!B18</x:f>
        <x:v>0.04449480415667466</x:v>
      </x:c>
      <x:c r="C4" s="91" t="n">
        <x:v>0.08</x:v>
      </x:c>
      <x:c r="D4" s="13" t="str">
        <x:f>IF(B4&gt;=C4,"PASS","RECHECK")</x:f>
        <x:v>RECHECK</x:v>
      </x:c>
      <x:c r="E4" s="13" t="str">
        <x:v>Показывает, выдерживает ли точка полные расходы</x:v>
      </x:c>
      <x:c r="F4" s="13" t="str">
        <x:v>Внутренний порог модели</x:v>
      </x:c>
    </x:row>
    <x:row r="5">
      <x:c r="A5" s="13" t="str">
        <x:v>Списания</x:v>
      </x:c>
      <x:c r="B5" s="100" t="n">
        <x:f>INPUTS!B11</x:f>
        <x:v>0.04</x:v>
      </x:c>
      <x:c r="C5" s="91" t="n">
        <x:v>0.05</x:v>
      </x:c>
      <x:c r="D5" s="13" t="str">
        <x:f>IF(B5&lt;=C5,"PASS","RECHECK")</x:f>
        <x:v>PASS</x:v>
      </x:c>
      <x:c r="E5" s="13" t="str">
        <x:v>Готовая еда может создавать видимую выручку и невидимую потерю маржи</x:v>
      </x:c>
      <x:c r="F5" s="13" t="str">
        <x:v>Управленческий KPI</x:v>
      </x:c>
    </x:row>
    <x:row r="6">
      <x:c r="A6" s="13" t="str">
        <x:v>Location score</x:v>
      </x:c>
      <x:c r="B6" s="52" t="n">
        <x:f>LOCATION_GATE!D14</x:f>
        <x:v>72.4</x:v>
      </x:c>
      <x:c r="C6" s="90" t="n">
        <x:v>70</x:v>
      </x:c>
      <x:c r="D6" s="13" t="str">
        <x:f>IF(B6&gt;=C6,"PASS","RECHECK")</x:f>
        <x:v>PASS</x:v>
      </x:c>
      <x:c r="E6" s="13" t="str">
        <x:v>Не переносить успех одной локации на другую</x:v>
      </x:c>
      <x:c r="F6" s="13" t="str">
        <x:v>Урок Новосибирска/СПб</x:v>
      </x:c>
    </x:row>
    <x:row r="7">
      <x:c r="A7" s="13" t="str">
        <x:v>Использование кассовой мощности</x:v>
      </x:c>
      <x:c r="B7" s="100" t="n">
        <x:f>CAPACITY!B13</x:f>
        <x:v>0.4583333333333333</x:v>
      </x:c>
      <x:c r="C7" s="91" t="n">
        <x:v>0.8</x:v>
      </x:c>
      <x:c r="D7" s="13" t="str">
        <x:f>IF(B7&lt;=C7,"PASS","RECHECK")</x:f>
        <x:v>PASS</x:v>
      </x:c>
      <x:c r="E7" s="13" t="str">
        <x:v>Нужен резерв на пики и сервис</x:v>
      </x:c>
      <x:c r="F7" s="13" t="str">
        <x:v>Внутренний порог модели</x:v>
      </x:c>
    </x:row>
    <x:row r="8">
      <x:c r="A8" s="13" t="str">
        <x:v>Supplier QA score</x:v>
      </x:c>
      <x:c r="B8" s="52" t="n">
        <x:f>SUPPLIER_QA!D11</x:f>
        <x:v>80</x:v>
      </x:c>
      <x:c r="C8" s="90" t="n">
        <x:v>70</x:v>
      </x:c>
      <x:c r="D8" s="13" t="str">
        <x:f>IF(B8&gt;=C8,"PASS","RECHECK")</x:f>
        <x:v>PASS</x:v>
      </x:c>
      <x:c r="E8" s="13" t="str">
        <x:v>Поставщик — часть риска бренда</x:v>
      </x:c>
      <x:c r="F8" s="13" t="str">
        <x:v>Урок инцидента 2024</x:v>
      </x:c>
    </x:row>
    <x:row r="9">
      <x:c r="A9" s="13" t="str">
        <x:v>Стресс -20%: опер. прибыль</x:v>
      </x:c>
      <x:c r="B9" s="53" t="n">
        <x:f>SCENARIOS!G5</x:f>
        <x:v>-87674.00000000023</x:v>
      </x:c>
      <x:c r="C9" s="101" t="n">
        <x:v>0</x:v>
      </x:c>
      <x:c r="D9" s="13" t="str">
        <x:f>IF(B9&gt;=C9,"PASS","RECHECK")</x:f>
        <x:v>RECHECK</x:v>
      </x:c>
      <x:c r="E9" s="13" t="str">
        <x:v>Точка должна переживать умеренное ухудшение спроса</x:v>
      </x:c>
      <x:c r="F9" s="13" t="str">
        <x:v>Stress-test</x:v>
      </x:c>
    </x:row>
    <x:row r="10">
      <x:c r="A10" t="str">
        <x:v>Минимальный остаток денег</x:v>
      </x:c>
      <x:c r="B10" s="42" t="n">
        <x:f>MIN(CASHFLOW_12M!E4:E15)</x:f>
        <x:v>2161616.2749999994</x:v>
      </x:c>
      <x:c r="C10" s="42" t="n">
        <x:f>CASHFLOW_12M!F4</x:f>
        <x:v>2985000</x:v>
      </x:c>
      <x:c r="D10" t="str">
        <x:f>IF(B10&gt;=C10,"PASS","RECHECK")</x:f>
        <x:v>RECHECK</x:v>
      </x:c>
      <x:c r="E10" t="str">
        <x:v>Показывает кассовый запас при разгоне</x:v>
      </x:c>
      <x:c r="F10" t="str">
        <x:v>CASHFLOW</x:v>
      </x:c>
    </x:row>
  </x:sheetData>
  <x:mergeCells>
    <x:mergeCell ref="A1:F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42" hidden="0" customWidth="1"/>
    <x:col min="4" max="4" width="42" hidden="0" customWidth="1"/>
    <x:col min="5" max="5" width="18" hidden="0" customWidth="1"/>
  </x:cols>
  <x:sheetData>
    <x:row r="1" ht="28" customHeight="1">
      <x:c r="A1" s="5" t="str">
        <x:v>МАТРИЦА «МОЖНО / НЕЛЬЗЯ КОПИРОВАТЬ»</x:v>
      </x:c>
    </x:row>
    <x:row r="3">
      <x:c r="A3" s="19" t="str">
        <x:v>Элемент кейса</x:v>
      </x:c>
      <x:c r="B3" s="19" t="str">
        <x:v>Что можно взять</x:v>
      </x:c>
      <x:c r="C3" s="19" t="str">
        <x:v>Что нельзя копировать</x:v>
      </x:c>
      <x:c r="D3" s="19" t="str">
        <x:v>Условие применения</x:v>
      </x:c>
      <x:c r="E3" s="19" t="str">
        <x:v>Статус</x:v>
      </x:c>
    </x:row>
    <x:row r="4">
      <x:c r="A4" s="13" t="str">
        <x:v>Несколько сценариев покупки</x:v>
      </x:c>
      <x:c r="B4" s="13" t="str">
        <x:v>Собрать 3–5 частых поводов вокруг одной ЦА</x:v>
      </x:c>
      <x:c r="C4" s="13" t="str">
        <x:v>Расширять категории без расчёта</x:v>
      </x:c>
      <x:c r="D4" s="13" t="str">
        <x:v>Каждый сценарий имеет частоту и вклад</x:v>
      </x:c>
      <x:c r="E4" s="13" t="str">
        <x:v>МОЖНО</x:v>
      </x:c>
    </x:row>
    <x:row r="5">
      <x:c r="A5" s="13" t="str">
        <x:v>СТМ</x:v>
      </x:c>
      <x:c r="B5" s="13" t="str">
        <x:v>Уникальный продукт и контроль SKU</x:v>
      </x:c>
      <x:c r="C5" s="13" t="str">
        <x:v>Копировать 95%+ СТМ без QA</x:v>
      </x:c>
      <x:c r="D5" s="13" t="str">
        <x:v>Есть спецификация, supplier QA и резерв</x:v>
      </x:c>
      <x:c r="E5" s="13" t="str">
        <x:v>С УСЛОВИЕМ</x:v>
      </x:c>
    </x:row>
    <x:row r="6">
      <x:c r="A6" s="13" t="str">
        <x:v>Готовая еда</x:v>
      </x:c>
      <x:c r="B6" s="13" t="str">
        <x:v>Тестировать высокочастотную категорию</x:v>
      </x:c>
      <x:c r="C6" s="13" t="str">
        <x:v>Сразу строить широкий ассортимент</x:v>
      </x:c>
      <x:c r="D6" s="13" t="str">
        <x:v>Есть учёт списаний и холодовой цепи</x:v>
      </x:c>
      <x:c r="E6" s="13" t="str">
        <x:v>С УСЛОВИЕМ</x:v>
      </x:c>
    </x:row>
    <x:row r="7">
      <x:c r="A7" s="13" t="str">
        <x:v>IT</x:v>
      </x:c>
      <x:c r="B7" s="13" t="str">
        <x:v>Единый ежедневный dashboard</x:v>
      </x:c>
      <x:c r="C7" s="13" t="str">
        <x:v>Покупать сложную систему ради статуса</x:v>
      </x:c>
      <x:c r="D7" s="13" t="str">
        <x:v>KPI ведут к конкретному действию</x:v>
      </x:c>
      <x:c r="E7" s="13" t="str">
        <x:v>МОЖНО</x:v>
      </x:c>
    </x:row>
    <x:row r="8">
      <x:c r="A8" s="13" t="str">
        <x:v>Франчайзинговая скорость</x:v>
      </x:c>
      <x:c r="B8" s="13" t="str">
        <x:v>Gate партнёра и локации</x:v>
      </x:c>
      <x:c r="C8" s="13" t="str">
        <x:v>Считать число открытий самоцелью</x:v>
      </x:c>
      <x:c r="D8" s="13" t="str">
        <x:v>Экономика первой точки доказана</x:v>
      </x:c>
      <x:c r="E8" s="13" t="str">
        <x:v>С УСЛОВИЕМ</x:v>
      </x:c>
    </x:row>
    <x:row r="9">
      <x:c r="A9" s="13" t="str">
        <x:v>Региональная экспансия</x:v>
      </x:c>
      <x:c r="B9" s="13" t="str">
        <x:v>Считать кластер отдельно</x:v>
      </x:c>
      <x:c r="C9" s="13" t="str">
        <x:v>Переносить трафик и чек из домашнего города</x:v>
      </x:c>
      <x:c r="D9" s="13" t="str">
        <x:v>Логистика и конкуренты подтверждены</x:v>
      </x:c>
      <x:c r="E9" s="13" t="str">
        <x:v>НЕ КОПИРОВАТЬ</x:v>
      </x:c>
    </x:row>
    <x:row r="10">
      <x:c r="A10" s="13" t="str">
        <x:v>Маркетинговая окупаемость</x:v>
      </x:c>
      <x:c r="B10" s="13" t="str">
        <x:v>Использовать как гипотезу</x:v>
      </x:c>
      <x:c r="C10" s="13" t="str">
        <x:v>Считать обещанием результата</x:v>
      </x:c>
      <x:c r="D10" s="13" t="str">
        <x:v>Есть собственный P&amp;L и cash-flow</x:v>
      </x:c>
      <x:c r="E10" s="13" t="str">
        <x:v>НЕ КОПИРОВАТЬ</x:v>
      </x:c>
    </x:row>
  </x:sheetData>
  <x:mergeCells>
    <x:mergeCell ref="A1:E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60" hidden="0" customWidth="1"/>
    <x:col min="3" max="3" width="46" hidden="0" customWidth="1"/>
    <x:col min="4" max="4" width="40" hidden="0" customWidth="1"/>
  </x:cols>
  <x:sheetData>
    <x:row r="1" ht="28" customHeight="1">
      <x:c r="A1" s="5" t="str">
        <x:v>SOURCES — ИСТОЧНИКИ И ОГРАНИЧЕНИЯ</x:v>
      </x:c>
    </x:row>
    <x:row r="3">
      <x:c r="A3" s="19" t="str">
        <x:v>Источник</x:v>
      </x:c>
      <x:c r="B3" s="19" t="str">
        <x:v>URL</x:v>
      </x:c>
      <x:c r="C3" s="19" t="str">
        <x:v>Что подтверждает</x:v>
      </x:c>
      <x:c r="D3" s="19" t="str">
        <x:v>Ограничение</x:v>
      </x:c>
    </x:row>
    <x:row r="4">
      <x:c r="A4" s="13" t="str">
        <x:v>Жизньмарт — официальная франшиза</x:v>
      </x:c>
      <x:c r="B4" s="13" t="str">
        <x:v>https://fr.lifemart.ru/</x:v>
      </x:c>
      <x:c r="C4" s="13" t="str">
        <x:v>Счётчик, форматы, инвестиции, роялти, СТМ, ассортимент, IT</x:v>
      </x:c>
      <x:c r="D4" s="13" t="str">
        <x:v>Заявления компании; не гарантия экономики</x:v>
      </x:c>
    </x:row>
    <x:row r="5">
      <x:c r="A5" s="13" t="str">
        <x:v>Forbes Франшизы, 24.04.2026</x:v>
      </x:c>
      <x:c r="B5" s="13" t="str">
        <x:v>https://www.forbes.ru/franchises/559869-retejler-zizn-mart-vosstanavlivaet-francajzingovuu-set</x:v>
      </x:c>
      <x:c r="C5" s="13" t="str">
        <x:v>INFOLine, 247 точек на апрель, Челябинск, планы</x:v>
      </x:c>
      <x:c r="D5" s="13" t="str">
        <x:v>Смешивать с данными компании нельзя</x:v>
      </x:c>
    </x:row>
    <x:row r="6">
      <x:c r="A6" s="13" t="str">
        <x:v>РБК Екатеринбург, 14.04.2025</x:v>
      </x:c>
      <x:c r="B6" s="13" t="str">
        <x:v>https://ekb.rbc.ru/ekb/freenews/67fcd9489a794723048c3cb1</x:v>
      </x:c>
      <x:c r="C6" s="13" t="str">
        <x:v>Новосибирск: 17 точек, сворачивание, логистика</x:v>
      </x:c>
      <x:c r="D6" s="13" t="str">
        <x:v>Состояние на дату публикации</x:v>
      </x:c>
    </x:row>
    <x:row r="7">
      <x:c r="A7" s="13" t="str">
        <x:v>Retail.ru, 19.06.2026</x:v>
      </x:c>
      <x:c r="B7" s="13" t="str">
        <x:v>https://www.retail.ru/news/set-zhiznmart-zakryvaet-posledniy-magazin-v-peterburge-19-iyunya-2026-279012/</x:v>
      </x:c>
      <x:c r="C7" s="13" t="str">
        <x:v>Санкт-Петербург: закрытие последней точки</x:v>
      </x:c>
      <x:c r="D7" s="13" t="str">
        <x:v>Часть причин — оценки участников рынка</x:v>
      </x:c>
    </x:row>
    <x:row r="8">
      <x:c r="A8" s="13" t="str">
        <x:v>РБК Екатеринбург, 22.05.2024</x:v>
      </x:c>
      <x:c r="B8" s="13" t="str">
        <x:v>https://ekb.rbc.ru/ekb/freenews/664da9eb9a794759d0a720b9</x:v>
      </x:c>
      <x:c r="C8" s="13" t="str">
        <x:v>18 обращений по ОКИ и реакция сети</x:v>
      </x:c>
      <x:c r="D8" s="13" t="str">
        <x:v>Исторический инцидент</x:v>
      </x:c>
    </x:row>
    <x:row r="9">
      <x:c r="A9" s="13" t="str">
        <x:v>РБК Екатеринбург, 30.05.2024</x:v>
      </x:c>
      <x:c r="B9" s="13" t="str">
        <x:v>https://ekb.rbc.ru/ekb/freenews/6658174c9a79475f4c91b4ec</x:v>
      </x:c>
      <x:c r="C9" s="13" t="str">
        <x:v>Результаты проверок поставщика</x:v>
      </x:c>
      <x:c r="D9" s="13" t="str">
        <x:v>Не обобщать на всю сеть</x:v>
      </x:c>
    </x:row>
  </x:sheetData>
  <x:mergeCells>
    <x:mergeCell ref="A1:D1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4" hidden="0" customWidth="1"/>
    <x:col min="4" max="4" width="28" hidden="0" customWidth="1"/>
    <x:col min="5" max="5" width="14" hidden="0" customWidth="1"/>
    <x:col min="6" max="6" width="42" hidden="0" customWidth="1"/>
    <x:col min="7" max="7" width="10" hidden="0" customWidth="1"/>
    <x:col min="8" max="8" width="18" hidden="0" customWidth="1"/>
  </x:cols>
  <x:sheetData>
    <x:row r="1" ht="28" customHeight="1">
      <x:c r="A1" s="5" t="str">
        <x:v>DASHBOARD — GO / TEST / NO-GO</x:v>
      </x:c>
    </x:row>
    <x:row r="3">
      <x:c r="A3" s="19" t="str">
        <x:v>Показатель</x:v>
      </x:c>
      <x:c r="B3" s="19" t="str">
        <x:v>Результат</x:v>
      </x:c>
      <x:c r="C3" s="13"/>
      <x:c r="D3" s="19" t="str">
        <x:v>Критерий</x:v>
      </x:c>
      <x:c r="E3" s="19" t="str">
        <x:v>PASS?</x:v>
      </x:c>
      <x:c r="F3" s="19" t="str">
        <x:v>Логика</x:v>
      </x:c>
      <x:c r="G3" t="str">
        <x:v>Месяц</x:v>
      </x:c>
      <x:c r="H3" t="str">
        <x:v>Остаток денег</x:v>
      </x:c>
    </x:row>
    <x:row r="4">
      <x:c r="A4" s="13" t="str">
        <x:v>Операционная прибыль</x:v>
      </x:c>
      <x:c r="B4" s="101" t="n">
        <x:f>UNIT_TEST!B17</x:f>
        <x:v>139157.5</x:v>
      </x:c>
      <x:c r="C4" s="13"/>
      <x:c r="D4" s="13" t="str">
        <x:v>Маржа ≥ порога</x:v>
      </x:c>
      <x:c r="E4" s="13" t="str">
        <x:f>IF(B5&gt;=INPUTS!B25,"PASS","RECHECK")</x:f>
        <x:v>RECHECK</x:v>
      </x:c>
      <x:c r="F4" s="13" t="str">
        <x:v>UNIT_TEST margin vs INPUTS</x:v>
      </x:c>
      <x:c r="G4" t="n">
        <x:v>1</x:v>
      </x:c>
      <x:c r="H4" s="84" t="n">
        <x:f>CASHFLOW_12M!E4</x:f>
        <x:v>2628786.625</x:v>
      </x:c>
    </x:row>
    <x:row r="5">
      <x:c r="A5" s="13" t="str">
        <x:v>Операционная маржа</x:v>
      </x:c>
      <x:c r="B5" s="91" t="n">
        <x:f>UNIT_TEST!B18</x:f>
        <x:v>0.04449480415667466</x:v>
      </x:c>
      <x:c r="C5" s="13"/>
      <x:c r="D5" s="13" t="str">
        <x:v>Stress -20% ≥ 0</x:v>
      </x:c>
      <x:c r="E5" s="13" t="str">
        <x:f>IF(B6&gt;=0,"PASS","RECHECK")</x:f>
        <x:v>RECHECK</x:v>
      </x:c>
      <x:c r="F5" s="13" t="str">
        <x:v>SCENARIOS</x:v>
      </x:c>
      <x:c r="G5" t="n">
        <x:v>2</x:v>
      </x:c>
      <x:c r="H5" s="84" t="n">
        <x:f>CASHFLOW_12M!E5</x:f>
        <x:v>2370989</x:v>
      </x:c>
    </x:row>
    <x:row r="6">
      <x:c r="A6" s="13" t="str">
        <x:v>Stress -20% прибыль</x:v>
      </x:c>
      <x:c r="B6" s="101" t="n">
        <x:f>SCENARIOS!G5</x:f>
        <x:v>-87674.00000000023</x:v>
      </x:c>
      <x:c r="C6" s="13"/>
      <x:c r="D6" s="13" t="str">
        <x:v>Location ≥ порога</x:v>
      </x:c>
      <x:c r="E6" s="13" t="str">
        <x:f>IF(B7&gt;=INPUTS!B27,"PASS","RECHECK")</x:f>
        <x:v>PASS</x:v>
      </x:c>
      <x:c r="F6" s="13" t="str">
        <x:v>LOCATION_GATE</x:v>
      </x:c>
      <x:c r="G6" t="n">
        <x:v>3</x:v>
      </x:c>
      <x:c r="H6" s="84" t="n">
        <x:f>CASHFLOW_12M!E6</x:f>
        <x:v>2226607.125</x:v>
      </x:c>
    </x:row>
    <x:row r="7">
      <x:c r="A7" s="13" t="str">
        <x:v>Location score</x:v>
      </x:c>
      <x:c r="B7" s="90" t="n">
        <x:f>LOCATION_GATE!D14</x:f>
        <x:v>72.4</x:v>
      </x:c>
      <x:c r="C7" s="13"/>
      <x:c r="D7" s="13" t="str">
        <x:v>Capacity ≤ порога</x:v>
      </x:c>
      <x:c r="E7" s="13" t="str">
        <x:f>IF(B8&lt;=INPUTS!B26,"PASS","RECHECK")</x:f>
        <x:v>PASS</x:v>
      </x:c>
      <x:c r="F7" s="13" t="str">
        <x:v>CAPACITY</x:v>
      </x:c>
      <x:c r="G7" t="n">
        <x:v>4</x:v>
      </x:c>
      <x:c r="H7" s="84" t="n">
        <x:f>CASHFLOW_12M!E7</x:f>
        <x:v>2161616.2749999994</x:v>
      </x:c>
    </x:row>
    <x:row r="8">
      <x:c r="A8" s="13" t="str">
        <x:v>Capacity utilization</x:v>
      </x:c>
      <x:c r="B8" s="91" t="n">
        <x:f>CAPACITY!B13</x:f>
        <x:v>0.4583333333333333</x:v>
      </x:c>
      <x:c r="C8" s="13"/>
      <x:c r="D8" s="13" t="str">
        <x:v>Supplier QA ≥ порога</x:v>
      </x:c>
      <x:c r="E8" s="13" t="str">
        <x:f>IF(B9&gt;=INPUTS!B28,"PASS","RECHECK")</x:f>
        <x:v>PASS</x:v>
      </x:c>
      <x:c r="F8" s="13" t="str">
        <x:v>SUPPLIER_QA</x:v>
      </x:c>
      <x:c r="G8" t="n">
        <x:v>5</x:v>
      </x:c>
      <x:c r="H8" s="84" t="n">
        <x:f>CASHFLOW_12M!E8</x:f>
        <x:v>2164674.874999999</x:v>
      </x:c>
    </x:row>
    <x:row r="9">
      <x:c r="A9" s="13" t="str">
        <x:v>Supplier QA score</x:v>
      </x:c>
      <x:c r="B9" s="90" t="n">
        <x:f>SUPPLIER_QA!D11</x:f>
        <x:v>80</x:v>
      </x:c>
      <x:c r="C9" s="13"/>
      <x:c r="D9" s="13" t="str">
        <x:v>Cash ≥ min reserve</x:v>
      </x:c>
      <x:c r="E9" s="13" t="str">
        <x:f>IF(B10&gt;=CASHFLOW_12M!F4,"PASS","RECHECK")</x:f>
        <x:v>RECHECK</x:v>
      </x:c>
      <x:c r="F9" s="13" t="str">
        <x:v>CASHFLOW</x:v>
      </x:c>
      <x:c r="G9" t="n">
        <x:v>6</x:v>
      </x:c>
      <x:c r="H9" s="84" t="n">
        <x:f>CASHFLOW_12M!E9</x:f>
        <x:v>2224441.3499999987</x:v>
      </x:c>
    </x:row>
    <x:row r="10">
      <x:c r="A10" s="13" t="str">
        <x:v>Min cash balance</x:v>
      </x:c>
      <x:c r="B10" s="101" t="n">
        <x:f>MIN(CASHFLOW_12M!E4:E15)</x:f>
        <x:v>2161616.2749999994</x:v>
      </x:c>
      <x:c r="C10" s="13"/>
      <x:c r="D10" s="13"/>
      <x:c r="E10" s="13"/>
      <x:c r="F10" s="13"/>
      <x:c r="G10" t="n">
        <x:v>7</x:v>
      </x:c>
      <x:c r="H10" s="84" t="n">
        <x:f>CASHFLOW_12M!E10</x:f>
        <x:v>2329574.124999998</x:v>
      </x:c>
    </x:row>
    <x:row r="11">
      <x:c r="A11" s="13"/>
      <x:c r="B11" s="13"/>
      <x:c r="C11" s="13"/>
      <x:c r="D11" s="13" t="str">
        <x:v>PASS count</x:v>
      </x:c>
      <x:c r="E11" s="13" t="n">
        <x:f>COUNTIF(E4:E9,"PASS")</x:f>
        <x:v>3</x:v>
      </x:c>
      <x:c r="F11" s="13"/>
      <x:c r="G11" t="n">
        <x:v>8</x:v>
      </x:c>
      <x:c r="H11" s="84" t="n">
        <x:f>CASHFLOW_12M!E11</x:f>
        <x:v>2468731.6249999977</x:v>
      </x:c>
    </x:row>
    <x:row r="12">
      <x:c r="A12" s="13"/>
      <x:c r="B12" s="13"/>
      <x:c r="C12" s="13"/>
      <x:c r="D12" s="108"/>
      <x:c r="E12" s="108"/>
      <x:c r="F12" s="13"/>
      <x:c r="G12" t="n">
        <x:v>9</x:v>
      </x:c>
      <x:c r="H12" s="84" t="n">
        <x:f>CASHFLOW_12M!E12</x:f>
        <x:v>2607889.124999997</x:v>
      </x:c>
    </x:row>
    <x:row r="13">
      <x:c r="D13" s="105" t="str">
        <x:v>ВЕРДИКТ</x:v>
      </x:c>
      <x:c r="E13" s="105" t="str">
        <x:f>IF(E11=6,"GO",IF(E11&gt;=3,"TEST","NO-GO"))</x:f>
        <x:v>TEST</x:v>
      </x:c>
      <x:c r="G13" t="n">
        <x:v>10</x:v>
      </x:c>
      <x:c r="H13" s="84" t="n">
        <x:f>CASHFLOW_12M!E13</x:f>
        <x:v>2769729.7749999966</x:v>
      </x:c>
    </x:row>
    <x:row r="14">
      <x:c r="G14" t="n">
        <x:v>11</x:v>
      </x:c>
      <x:c r="H14" s="84" t="n">
        <x:f>CASHFLOW_12M!E14</x:f>
        <x:v>2942911.9999999963</x:v>
      </x:c>
    </x:row>
    <x:row r="15">
      <x:c r="G15" t="n">
        <x:v>12</x:v>
      </x:c>
      <x:c r="H15" s="84" t="n">
        <x:f>CASHFLOW_12M!E15</x:f>
        <x:v>3138777.374999996</x:v>
      </x:c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ecb56f89e8924b56"/>
</x:worksheet>
</file>